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MP5" sheetId="1" r:id="rId1"/>
    <sheet name="Priest Gear" sheetId="2" r:id="rId2"/>
    <sheet name="X" sheetId="3" r:id="rId3"/>
    <sheet name="Authors" sheetId="4" r:id="rId4"/>
  </sheets>
  <definedNames>
    <definedName name="FormSelfBuffSwitch">'X'!$A$14:$A$15</definedName>
    <definedName name="Level">'X'!$G$5:$G$74</definedName>
  </definedNames>
  <calcPr fullCalcOnLoad="1"/>
</workbook>
</file>

<file path=xl/sharedStrings.xml><?xml version="1.0" encoding="utf-8"?>
<sst xmlns="http://schemas.openxmlformats.org/spreadsheetml/2006/main" count="729" uniqueCount="242">
  <si>
    <t xml:space="preserve"> Enter Stats, Buffs, Class, and Talents into Blue Fields</t>
  </si>
  <si>
    <t>Unbuffed</t>
  </si>
  <si>
    <t>Buffed</t>
  </si>
  <si>
    <t>Class</t>
  </si>
  <si>
    <t>Spirit</t>
  </si>
  <si>
    <t>3/3</t>
  </si>
  <si>
    <t>Intellect</t>
  </si>
  <si>
    <t>No</t>
  </si>
  <si>
    <t>Mooncloth Set Bonus</t>
  </si>
  <si>
    <t>Current</t>
  </si>
  <si>
    <t>Buffs</t>
  </si>
  <si>
    <t>MP5</t>
  </si>
  <si>
    <t>Race</t>
  </si>
  <si>
    <t>OO5 MP5</t>
  </si>
  <si>
    <t>Yes</t>
  </si>
  <si>
    <t>OO5 Innervate Mana</t>
  </si>
  <si>
    <t>Arcane Intellect</t>
  </si>
  <si>
    <t>PTR</t>
  </si>
  <si>
    <t>Blessing of Kings</t>
  </si>
  <si>
    <t>Blessing of Wisdom</t>
  </si>
  <si>
    <t>Improved</t>
  </si>
  <si>
    <t>Divine Spirit</t>
  </si>
  <si>
    <t>Mark of the Wild</t>
  </si>
  <si>
    <t>Mana Spring Totem</t>
  </si>
  <si>
    <t>MP5 Gained</t>
  </si>
  <si>
    <t>Flask of Distilled Wisdom</t>
  </si>
  <si>
    <t>OO5 MP5 Gained</t>
  </si>
  <si>
    <t>Flask of Restoration</t>
  </si>
  <si>
    <t>Elixir of Draenic Wisdom</t>
  </si>
  <si>
    <t>MP5 from +1 Spirit</t>
  </si>
  <si>
    <t>Elixir of Mastery</t>
  </si>
  <si>
    <t>MP5 from +1 Intellect</t>
  </si>
  <si>
    <t>Well Fed: 20 Spirit</t>
  </si>
  <si>
    <t>Well Fed: 8 MP5</t>
  </si>
  <si>
    <t>Mana Oil</t>
  </si>
  <si>
    <t>Precise for +1</t>
  </si>
  <si>
    <t>Level</t>
  </si>
  <si>
    <t>Value</t>
  </si>
  <si>
    <t>Chosen</t>
  </si>
  <si>
    <t>Difference</t>
  </si>
  <si>
    <t>Additional Buff</t>
  </si>
  <si>
    <t>http://elitistjerks.com/members/37045-havenwood/</t>
  </si>
  <si>
    <t>Created by:</t>
  </si>
  <si>
    <t xml:space="preserve"> Heavenwood - </t>
  </si>
  <si>
    <t>Edited by:</t>
  </si>
  <si>
    <t xml:space="preserve">Kinien - </t>
  </si>
  <si>
    <t xml:space="preserve">Mithos - </t>
  </si>
  <si>
    <t>http://elitistjerks.com/members/20975-kinien/</t>
  </si>
  <si>
    <t xml:space="preserve">Bendyr - </t>
  </si>
  <si>
    <t>http://elitistjerks.com/members/10880-bendyr/</t>
  </si>
  <si>
    <t>http://elitistjerks.com/members/54488-mithos/</t>
  </si>
  <si>
    <t>Last Edit by:</t>
  </si>
  <si>
    <t>MP5 (Charscreen)</t>
  </si>
  <si>
    <t>Patch 2.3</t>
  </si>
  <si>
    <t>NonSpirit MP5</t>
  </si>
  <si>
    <t>Precise for +1 OO5 MP5</t>
  </si>
  <si>
    <t>OO5 MP5 from +1 Spirit</t>
  </si>
  <si>
    <t>OO5 MP5 from +1 Intellect</t>
  </si>
  <si>
    <t>FormSelfBuffSwitch</t>
  </si>
  <si>
    <t>Update after Classswitch !</t>
  </si>
  <si>
    <t>Elixir of Major Mageblood</t>
  </si>
  <si>
    <t>Luminescent Rod of the Naaru</t>
  </si>
  <si>
    <t>Naaru-Blessed Life Rod</t>
  </si>
  <si>
    <t>Wand of Cleansing Light</t>
  </si>
  <si>
    <t>Y/N</t>
  </si>
  <si>
    <t>Mp5</t>
  </si>
  <si>
    <t>Heal</t>
  </si>
  <si>
    <t>Spi</t>
  </si>
  <si>
    <t>Int</t>
  </si>
  <si>
    <t>Meta</t>
  </si>
  <si>
    <t>Red</t>
  </si>
  <si>
    <t>Yellow</t>
  </si>
  <si>
    <t>Blue</t>
  </si>
  <si>
    <t>Crit</t>
  </si>
  <si>
    <t>Haste</t>
  </si>
  <si>
    <t>Sta</t>
  </si>
  <si>
    <t>Wand</t>
  </si>
  <si>
    <t>Points</t>
  </si>
  <si>
    <t>Aran's Soothing Sapphire</t>
  </si>
  <si>
    <t>Voodoo Shaker</t>
  </si>
  <si>
    <t>Talisman of the Sun King</t>
  </si>
  <si>
    <t>Scepter of Purification</t>
  </si>
  <si>
    <t>Touch of Inspiration</t>
  </si>
  <si>
    <t>Offhand</t>
  </si>
  <si>
    <t>Shard of the Virtuous</t>
  </si>
  <si>
    <t>Light's Justice</t>
  </si>
  <si>
    <t>Dark Blessing</t>
  </si>
  <si>
    <t>Lightfathom Scepter</t>
  </si>
  <si>
    <t>Crystal Spire of Karabor</t>
  </si>
  <si>
    <t>Archon's Gavel</t>
  </si>
  <si>
    <t>Gavel of Naaru Blessings</t>
  </si>
  <si>
    <t>Mace</t>
  </si>
  <si>
    <t>Crystalheart Pulse-Staff</t>
  </si>
  <si>
    <t>Nightstaff of the Everliving</t>
  </si>
  <si>
    <t>Ethereum Life-Staff</t>
  </si>
  <si>
    <t>Staff of Dark Mending</t>
  </si>
  <si>
    <t>Apostle of Argus</t>
  </si>
  <si>
    <t>Staff of Immaculate Recovery</t>
  </si>
  <si>
    <t>Rod of Blazing Light</t>
  </si>
  <si>
    <t>Golden Staff of the Sin'dorei</t>
  </si>
  <si>
    <t>Staff</t>
  </si>
  <si>
    <t>Tome of Diabolic Remedy</t>
  </si>
  <si>
    <t>Memento of Tyrande</t>
  </si>
  <si>
    <t>Vial of the Sunwell</t>
  </si>
  <si>
    <t>Glimmering Naaru Sliver</t>
  </si>
  <si>
    <t>Trinket</t>
  </si>
  <si>
    <t>Phoenix-Ring of Rebirth</t>
  </si>
  <si>
    <t>Signet of the Quiet Forest</t>
  </si>
  <si>
    <t>Menders Heart-Ring</t>
  </si>
  <si>
    <t>Violet Signet of the Grand Restorer</t>
  </si>
  <si>
    <t>Naruu Lightwardens Band</t>
  </si>
  <si>
    <t>Blessed Band of Karabor</t>
  </si>
  <si>
    <t>Coral Band of the Revived</t>
  </si>
  <si>
    <t>Band of the Eternal Restorer</t>
  </si>
  <si>
    <t>Kharmaa's Ring of Fate</t>
  </si>
  <si>
    <t>Ring of Flowing Life</t>
  </si>
  <si>
    <t>Band of Lucent Beams</t>
  </si>
  <si>
    <t>Rings</t>
  </si>
  <si>
    <t>Shining Chain of the Afterworld</t>
  </si>
  <si>
    <t>Brooch of Nature's Mercy</t>
  </si>
  <si>
    <t>Nadina's Pendant of Purity</t>
  </si>
  <si>
    <t>Lord Sanguinar's Claim</t>
  </si>
  <si>
    <t>Teeth of Gruul</t>
  </si>
  <si>
    <t>Amulet of Flowing Life</t>
  </si>
  <si>
    <t>Shattered Sun Pendant of Resto</t>
  </si>
  <si>
    <t>Brooch of the Highbourne</t>
  </si>
  <si>
    <t>Neck</t>
  </si>
  <si>
    <t>Shadowvine Cloak of Infusion</t>
  </si>
  <si>
    <t>Bishop's Cloak</t>
  </si>
  <si>
    <t>Cloak of Ancient Rituals</t>
  </si>
  <si>
    <t>Shroud of the Highborne</t>
  </si>
  <si>
    <t>Red Riding Hood's Cloak</t>
  </si>
  <si>
    <t>Stainless Cloak of the Pure Hearted</t>
  </si>
  <si>
    <t>Kharmaa's Shroud of Hope</t>
  </si>
  <si>
    <t>Sunshower Light Cloak</t>
  </si>
  <si>
    <t>Shroud of Forgiveness</t>
  </si>
  <si>
    <t>Shroud of the Final Stand</t>
  </si>
  <si>
    <t>Cloak of Swift Reprieve</t>
  </si>
  <si>
    <t>Shroud of Redeemed Souls</t>
  </si>
  <si>
    <t>Cloak</t>
  </si>
  <si>
    <t>Boots of the Pious</t>
  </si>
  <si>
    <t>Boots of the Incorrupt</t>
  </si>
  <si>
    <t>Footpads of Madness</t>
  </si>
  <si>
    <t>Two-toed Sandals</t>
  </si>
  <si>
    <t>Archbishop's Slippers</t>
  </si>
  <si>
    <t>Boots of the Long Road</t>
  </si>
  <si>
    <t>Soul-Strider Boots</t>
  </si>
  <si>
    <t>Boots of Divine Light</t>
  </si>
  <si>
    <t>Boots of Absolution</t>
  </si>
  <si>
    <t>Slippers of Dutiful Mending</t>
  </si>
  <si>
    <t>Boots</t>
  </si>
  <si>
    <t>Swiftheal Wraps</t>
  </si>
  <si>
    <t>Bands of Indwelling</t>
  </si>
  <si>
    <t>Wraps of Purification</t>
  </si>
  <si>
    <t>Wristbands of Divine Influence</t>
  </si>
  <si>
    <t>Bracers of Martyrdom</t>
  </si>
  <si>
    <t>Cuffs of Absolution</t>
  </si>
  <si>
    <t>Bracers</t>
  </si>
  <si>
    <t>Handwraps of the Incarnate</t>
  </si>
  <si>
    <t>Light-Blessed Bonds</t>
  </si>
  <si>
    <t>Gloves of Unfailing Faith</t>
  </si>
  <si>
    <t>Gloves of the Avatar</t>
  </si>
  <si>
    <t>Gloves of Absolution</t>
  </si>
  <si>
    <t>Hands of Eternal Light</t>
  </si>
  <si>
    <t>Handguards of the Dawn</t>
  </si>
  <si>
    <t>Gloves</t>
  </si>
  <si>
    <t>Archromic Trousers of the Naaru</t>
  </si>
  <si>
    <t>Whitemend Pants</t>
  </si>
  <si>
    <t>Breaches of the Avatar</t>
  </si>
  <si>
    <t>Breaches of Absolution</t>
  </si>
  <si>
    <t>Leggings of Eternity</t>
  </si>
  <si>
    <t>Pantaloons of Calming Strife</t>
  </si>
  <si>
    <t>Adorned Supernal Legwraps</t>
  </si>
  <si>
    <t>Pants</t>
  </si>
  <si>
    <t>Primal Mooncloth Robe</t>
  </si>
  <si>
    <t>Merciless Gladiator's Mooncloth Robe</t>
  </si>
  <si>
    <t>Robes of the Incarnate</t>
  </si>
  <si>
    <t>Garments of Temperance</t>
  </si>
  <si>
    <t>Robes of Heavenly Purpose</t>
  </si>
  <si>
    <t>Vestaments of the Avatar</t>
  </si>
  <si>
    <t>Vestaments of Absolution</t>
  </si>
  <si>
    <t>Robe of Eternal Light</t>
  </si>
  <si>
    <t>Robes of Faltered Light</t>
  </si>
  <si>
    <t>Gown of Spiritual Wonder</t>
  </si>
  <si>
    <t>Robe</t>
  </si>
  <si>
    <t>Cincture of Will</t>
  </si>
  <si>
    <t>Angelista's Sash</t>
  </si>
  <si>
    <t>1, 1, 36</t>
  </si>
  <si>
    <t>Primal Mooncloth Belt</t>
  </si>
  <si>
    <t>Recommended</t>
  </si>
  <si>
    <t>Cord of Braided Troll Hair</t>
  </si>
  <si>
    <t>Belt of the Long Road</t>
  </si>
  <si>
    <t>1, 18, 18, 18</t>
  </si>
  <si>
    <t>Belt of Divine Guidance</t>
  </si>
  <si>
    <t>Belt of Absolution</t>
  </si>
  <si>
    <t>Belt</t>
  </si>
  <si>
    <t>Primal Mooncloth Shoulders</t>
  </si>
  <si>
    <t>Stat Point Values</t>
  </si>
  <si>
    <t>Pauldrons of the Solace-Giver</t>
  </si>
  <si>
    <t>Amice of Brilliant Light</t>
  </si>
  <si>
    <t>Mantle of the Avatar</t>
  </si>
  <si>
    <t>Mantle of Absolution</t>
  </si>
  <si>
    <t>Shawl of Wonderment</t>
  </si>
  <si>
    <t>Shoulder</t>
  </si>
  <si>
    <t>Whitemend Hood</t>
  </si>
  <si>
    <r>
      <t xml:space="preserve">Enter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if they do not</t>
    </r>
  </si>
  <si>
    <t>Crown of the Sun</t>
  </si>
  <si>
    <r>
      <t xml:space="preserve">Enter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if the stats match the color</t>
    </r>
  </si>
  <si>
    <t>Hood of the Third Eye</t>
  </si>
  <si>
    <t>Gem Validity - Explained:</t>
  </si>
  <si>
    <t>Powerheal 4000 Lens</t>
  </si>
  <si>
    <t>y</t>
  </si>
  <si>
    <t>Red Gem</t>
  </si>
  <si>
    <t>Cowl of Benevolence</t>
  </si>
  <si>
    <t>Yellow Gem</t>
  </si>
  <si>
    <t>Cowl of the Avatar</t>
  </si>
  <si>
    <t>Blue Gem</t>
  </si>
  <si>
    <t>Cowl of Absolution</t>
  </si>
  <si>
    <t>Valid?</t>
  </si>
  <si>
    <t>Cowl of Light's Purity</t>
  </si>
  <si>
    <t>Hat</t>
  </si>
  <si>
    <t>Gem Choice</t>
  </si>
  <si>
    <t>Bonus</t>
  </si>
  <si>
    <t>Gems</t>
  </si>
  <si>
    <t>Stats</t>
  </si>
  <si>
    <t>Item Name</t>
  </si>
  <si>
    <t>Pts.</t>
  </si>
  <si>
    <t>Cast MP5</t>
  </si>
  <si>
    <t>Total</t>
  </si>
  <si>
    <t>Human</t>
  </si>
  <si>
    <t>Spirit of Redemption</t>
  </si>
  <si>
    <t>Modifiers</t>
  </si>
  <si>
    <t>Percent Casting</t>
  </si>
  <si>
    <t>Enlightenment</t>
  </si>
  <si>
    <t>Sin'dorei Pendant of Salvation</t>
  </si>
  <si>
    <t>Spiritual Guidance</t>
  </si>
  <si>
    <t>2.8, 1, 1.3, 0.5</t>
  </si>
  <si>
    <t>PTR Extra Spirit for Inner</t>
  </si>
  <si>
    <t>Extra Spirit</t>
  </si>
  <si>
    <t>Druid</t>
  </si>
  <si>
    <t>Caster</t>
  </si>
  <si>
    <t>Other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</si>
</sst>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6"/>
      <name val="Arial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6" borderId="1" xfId="0" applyFont="1" applyFill="1" applyBorder="1" applyAlignment="1">
      <alignment horizontal="left"/>
    </xf>
    <xf numFmtId="1" fontId="0" fillId="6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1" fontId="0" fillId="6" borderId="1" xfId="0" applyNumberFormat="1" applyFill="1" applyBorder="1" applyAlignment="1" applyProtection="1">
      <alignment/>
      <protection locked="0"/>
    </xf>
    <xf numFmtId="1" fontId="0" fillId="4" borderId="1" xfId="0" applyNumberFormat="1" applyFill="1" applyBorder="1" applyAlignment="1" applyProtection="1">
      <alignment/>
      <protection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1" fontId="0" fillId="2" borderId="0" xfId="0" applyNumberFormat="1" applyFill="1" applyAlignment="1">
      <alignment/>
    </xf>
    <xf numFmtId="0" fontId="1" fillId="7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 horizontal="left"/>
      <protection locked="0"/>
    </xf>
    <xf numFmtId="1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8" borderId="2" xfId="0" applyFill="1" applyBorder="1" applyAlignment="1">
      <alignment/>
    </xf>
    <xf numFmtId="0" fontId="0" fillId="9" borderId="0" xfId="0" applyFill="1" applyAlignment="1">
      <alignment/>
    </xf>
    <xf numFmtId="172" fontId="0" fillId="3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/>
    </xf>
    <xf numFmtId="0" fontId="4" fillId="2" borderId="0" xfId="15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4" fillId="2" borderId="0" xfId="15" applyFill="1" applyAlignment="1">
      <alignment/>
    </xf>
    <xf numFmtId="0" fontId="0" fillId="6" borderId="1" xfId="0" applyFill="1" applyBorder="1" applyAlignment="1">
      <alignment/>
    </xf>
    <xf numFmtId="0" fontId="0" fillId="10" borderId="3" xfId="0" applyNumberFormat="1" applyFill="1" applyBorder="1" applyAlignment="1" applyProtection="1">
      <alignment horizontal="right"/>
      <protection/>
    </xf>
    <xf numFmtId="0" fontId="0" fillId="5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6" borderId="1" xfId="0" applyFill="1" applyBorder="1" applyAlignment="1" applyProtection="1">
      <alignment horizontal="left"/>
      <protection locked="0"/>
    </xf>
    <xf numFmtId="0" fontId="0" fillId="11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12" borderId="0" xfId="0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/>
    </xf>
    <xf numFmtId="0" fontId="0" fillId="12" borderId="4" xfId="0" applyFont="1" applyFill="1" applyBorder="1" applyAlignment="1" applyProtection="1">
      <alignment horizontal="center"/>
      <protection/>
    </xf>
    <xf numFmtId="0" fontId="0" fillId="12" borderId="4" xfId="0" applyFill="1" applyBorder="1" applyAlignment="1" applyProtection="1">
      <alignment horizontal="center"/>
      <protection/>
    </xf>
    <xf numFmtId="0" fontId="7" fillId="12" borderId="5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11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7" fillId="0" borderId="8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12" borderId="12" xfId="0" applyFont="1" applyFill="1" applyBorder="1" applyAlignment="1" applyProtection="1">
      <alignment horizontal="center"/>
      <protection/>
    </xf>
    <xf numFmtId="0" fontId="0" fillId="12" borderId="8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15" xfId="0" applyFont="1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center"/>
      <protection locked="0"/>
    </xf>
    <xf numFmtId="0" fontId="8" fillId="8" borderId="2" xfId="0" applyFont="1" applyFill="1" applyBorder="1" applyAlignment="1" applyProtection="1">
      <alignment horizontal="center"/>
      <protection locked="0"/>
    </xf>
    <xf numFmtId="0" fontId="0" fillId="8" borderId="16" xfId="0" applyFont="1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0" fillId="8" borderId="21" xfId="0" applyFont="1" applyFill="1" applyBorder="1" applyAlignment="1" applyProtection="1">
      <alignment horizontal="center"/>
      <protection locked="0"/>
    </xf>
    <xf numFmtId="9" fontId="0" fillId="6" borderId="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" fontId="0" fillId="13" borderId="1" xfId="0" applyNumberFormat="1" applyFont="1" applyFill="1" applyBorder="1" applyAlignment="1">
      <alignment/>
    </xf>
    <xf numFmtId="0" fontId="1" fillId="7" borderId="3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0" fontId="0" fillId="7" borderId="26" xfId="0" applyFill="1" applyBorder="1" applyAlignment="1">
      <alignment horizontal="right"/>
    </xf>
    <xf numFmtId="0" fontId="0" fillId="7" borderId="3" xfId="0" applyFont="1" applyFill="1" applyBorder="1" applyAlignment="1">
      <alignment horizontal="right"/>
    </xf>
    <xf numFmtId="0" fontId="0" fillId="7" borderId="26" xfId="0" applyFont="1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" fillId="6" borderId="3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0" fillId="10" borderId="3" xfId="0" applyNumberFormat="1" applyFont="1" applyFill="1" applyBorder="1" applyAlignment="1">
      <alignment horizontal="right"/>
    </xf>
    <xf numFmtId="0" fontId="0" fillId="10" borderId="26" xfId="0" applyNumberFormat="1" applyFont="1" applyFill="1" applyBorder="1" applyAlignment="1">
      <alignment horizontal="right"/>
    </xf>
    <xf numFmtId="0" fontId="1" fillId="10" borderId="1" xfId="0" applyNumberFormat="1" applyFont="1" applyFill="1" applyBorder="1" applyAlignment="1">
      <alignment horizontal="center"/>
    </xf>
    <xf numFmtId="0" fontId="0" fillId="10" borderId="3" xfId="0" applyNumberFormat="1" applyFill="1" applyBorder="1" applyAlignment="1">
      <alignment horizontal="right"/>
    </xf>
    <xf numFmtId="0" fontId="9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29" xfId="0" applyFont="1" applyBorder="1" applyAlignment="1">
      <alignment horizontal="center"/>
    </xf>
    <xf numFmtId="9" fontId="0" fillId="6" borderId="17" xfId="0" applyNumberFormat="1" applyFont="1" applyFill="1" applyBorder="1" applyAlignment="1">
      <alignment horizontal="left"/>
    </xf>
    <xf numFmtId="0" fontId="0" fillId="0" borderId="32" xfId="0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9" fontId="0" fillId="8" borderId="17" xfId="0" applyNumberFormat="1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8" borderId="17" xfId="0" applyFill="1" applyBorder="1" applyAlignment="1">
      <alignment/>
    </xf>
    <xf numFmtId="0" fontId="0" fillId="8" borderId="17" xfId="0" applyFont="1" applyFill="1" applyBorder="1" applyAlignment="1">
      <alignment/>
    </xf>
    <xf numFmtId="0" fontId="9" fillId="0" borderId="36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9" fontId="9" fillId="0" borderId="37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15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30</xdr:row>
      <xdr:rowOff>66675</xdr:rowOff>
    </xdr:from>
    <xdr:to>
      <xdr:col>5</xdr:col>
      <xdr:colOff>200025</xdr:colOff>
      <xdr:row>30</xdr:row>
      <xdr:rowOff>66675</xdr:rowOff>
    </xdr:to>
    <xdr:sp>
      <xdr:nvSpPr>
        <xdr:cNvPr id="1" name="Line 4"/>
        <xdr:cNvSpPr>
          <a:spLocks/>
        </xdr:cNvSpPr>
      </xdr:nvSpPr>
      <xdr:spPr>
        <a:xfrm>
          <a:off x="3133725" y="4972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itistjerks.com/members/37045-havenwood/" TargetMode="External" /><Relationship Id="rId2" Type="http://schemas.openxmlformats.org/officeDocument/2006/relationships/hyperlink" Target="http://elitistjerks.com/members/20975-kinien/" TargetMode="External" /><Relationship Id="rId3" Type="http://schemas.openxmlformats.org/officeDocument/2006/relationships/hyperlink" Target="http://elitistjerks.com/members/10880-bendyr/" TargetMode="External" /><Relationship Id="rId4" Type="http://schemas.openxmlformats.org/officeDocument/2006/relationships/hyperlink" Target="http://elitistjerks.com/members/54488-mithos/" TargetMode="External" /><Relationship Id="rId5" Type="http://schemas.openxmlformats.org/officeDocument/2006/relationships/hyperlink" Target="http://elitistjerks.com/members/20975-kinie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.57421875" style="1" customWidth="1"/>
    <col min="2" max="2" width="15.7109375" style="1" customWidth="1"/>
    <col min="3" max="3" width="9.28125" style="1" customWidth="1"/>
    <col min="4" max="4" width="9.7109375" style="1" customWidth="1"/>
    <col min="5" max="5" width="8.8515625" style="1" customWidth="1"/>
    <col min="6" max="6" width="3.00390625" style="1" customWidth="1"/>
    <col min="7" max="7" width="29.57421875" style="1" customWidth="1"/>
    <col min="8" max="8" width="10.7109375" style="1" customWidth="1"/>
    <col min="9" max="9" width="9.421875" style="1" customWidth="1"/>
    <col min="10" max="10" width="6.140625" style="1" customWidth="1"/>
    <col min="11" max="11" width="30.57421875" style="1" customWidth="1"/>
    <col min="12" max="12" width="7.00390625" style="1" customWidth="1"/>
    <col min="13" max="16384" width="11.57421875" style="1" customWidth="1"/>
  </cols>
  <sheetData>
    <row r="1" spans="3:7" ht="13.5" customHeight="1">
      <c r="C1" s="2"/>
      <c r="D1" s="2"/>
      <c r="E1" s="2"/>
      <c r="F1" s="2"/>
      <c r="G1" s="2"/>
    </row>
    <row r="2" spans="2:7" ht="15.75" customHeight="1">
      <c r="B2" s="133" t="s">
        <v>0</v>
      </c>
      <c r="C2" s="134"/>
      <c r="D2" s="134"/>
      <c r="E2" s="134"/>
      <c r="F2" s="134"/>
      <c r="G2" s="135"/>
    </row>
    <row r="4" spans="2:9" ht="12.75">
      <c r="B4" s="138" t="str">
        <f>"Level "&amp;I4&amp;" Stats"</f>
        <v>Level 70 Stats</v>
      </c>
      <c r="C4" s="138"/>
      <c r="D4" s="3" t="s">
        <v>1</v>
      </c>
      <c r="E4" s="4" t="s">
        <v>2</v>
      </c>
      <c r="G4" s="5" t="s">
        <v>3</v>
      </c>
      <c r="H4" s="6" t="s">
        <v>239</v>
      </c>
      <c r="I4" s="34">
        <v>70</v>
      </c>
    </row>
    <row r="5" spans="2:8" ht="12.75">
      <c r="B5" s="139" t="s">
        <v>4</v>
      </c>
      <c r="C5" s="137"/>
      <c r="D5" s="7">
        <v>267</v>
      </c>
      <c r="E5" s="8">
        <f>(IF(EXACT("Yes",$H$17),50,0)+IF(EXACT("Yes",$H$25),20,0)+IF(EXACT("Yes",$H$23),15,0)+IF(EXACT("Yes",$H$22),30,0)+IF(EXACT("Improved",$H$18),18.9,0)+IF(EXACT("Yes",$H$18),14,0))*IF(EXACT("Human",$H$13),1.1,1)*IF(EXACT("Yes",$H$8),IF(EXACT("Druid",$H$4),1.15,IF(EXACT("Priest",$H$4),1.05,IF(EXACT("Warlock",$H$4),0.95,1))),1)*IF(EXACT("Yes",$H$15),1.1,1)*(1+H$7)+(D5*IF(EXACT("Yes",$H$15),1.1,1))</f>
        <v>370.70000000000005</v>
      </c>
      <c r="G5" s="13" t="s">
        <v>8</v>
      </c>
      <c r="H5" s="14" t="s">
        <v>7</v>
      </c>
    </row>
    <row r="6" spans="2:8" ht="12.75">
      <c r="B6" s="136" t="s">
        <v>6</v>
      </c>
      <c r="C6" s="137"/>
      <c r="D6" s="7">
        <v>475</v>
      </c>
      <c r="E6" s="8">
        <f>(IF(EXACT("Yes",$H$14),40,0)+IF(EXACT("Yes",$H$20),65,0)+IF(EXACT("Yes",$H$23),15,0)+IF(EXACT("Yes",$H$22),30,0)+IF(EXACT("Improved",$H$18),18.9,0)+IF(EXACT("Yes",$H$18),14,0))*(IF(EXACT("Yes",$H$15),1.1,1))*IF(EXACT("Gnome",$H$13),1.05,1)*IF(EXACT("Yes",$H$8),IF(EXACT("Mage",$H$4),1.15,1),1)*(1+H$7)+(D6*IF(EXACT("Yes",$H$15),1.1,1))</f>
        <v>566.5</v>
      </c>
      <c r="G6" s="9" t="str">
        <f>IF(EXACT("Priest",MP5!$H$4),"Meditation Talent",IF(EXACT("Mage",MP5!$H$4),"Arcane Meditation",IF(EXACT("Druid",MP5!$H$4),"Intensity Talent","Set this to 0/3")))</f>
        <v>Intensity Talent</v>
      </c>
      <c r="H6" s="10" t="s">
        <v>5</v>
      </c>
    </row>
    <row r="7" spans="2:8" ht="12.75">
      <c r="B7" s="43" t="s">
        <v>52</v>
      </c>
      <c r="C7" s="14" t="s">
        <v>53</v>
      </c>
      <c r="D7" s="11">
        <v>132</v>
      </c>
      <c r="E7" s="12">
        <f>D8+(IF(EXACT(C7,"Patch 2.3"),(((E5/X!C7)+X!B7)*2.5*X!B8),((0.001+E5*X!H3*(E6^0.5))*5*X!B8)))+IF(EXACT("Yes",$H$16),41,0)+IF(EXACT("Improved",$H$16),49,0)+IF(EXACT("Yes",$H$19),50,0)+IF(EXACT("Improved",$H$19),62.5,0)+IF(EXACT("Yes",$H$21),25,0)+IF(EXACT("Yes",$H$26),8,0)+IF(EXACT("Superior",$H$27),14,0)+IF(EXACT("Brilliant",$H$27),12,0)+IF(EXACT("Yes",$H$24),16,0)+IF(EXACT($H$4,"Shaman"),IF(EXACT($H$8,"Yes"),($E$6-$D$6)*0.1,0),0)</f>
        <v>211.78333333333336</v>
      </c>
      <c r="G7" s="9" t="str">
        <f>IF(EXACT("Priest",MP5!$H$4),"Enlightenment Talent","Nothing Set this to 0")</f>
        <v>Nothing Set this to 0</v>
      </c>
      <c r="H7" s="110">
        <v>0</v>
      </c>
    </row>
    <row r="8" spans="2:8" ht="12.75">
      <c r="B8" s="139" t="s">
        <v>54</v>
      </c>
      <c r="C8" s="137"/>
      <c r="D8" s="20">
        <f>D7-(IF(EXACT(C7,"Patch 2.3"),(((D5/X!C7)+X!B7)*2.5*X!B8),((0.001+D5*X!H3*(D6^0.5))*5*X!B8)))</f>
        <v>76.25</v>
      </c>
      <c r="E8" s="21">
        <f>E7-(IF(EXACT(C7,"Patch 2.3"),(((E5/X!C7)+X!B7)*2.5*X!B8),((0.001+E5*X!H3*(E6^0.5))*5*X!B8)))+IF(EXACT(H9,"Yes"),50,0)</f>
        <v>138.75</v>
      </c>
      <c r="G8" s="44" t="str">
        <f>IF(EXACT("Priest",MP5!$H$4),"Spirit of Redemption",IF(EXACT("Mage",MP5!$H$4),"Arcane Mind",IF(EXACT("Druid",MP5!$H$4),"Living Spirit",IF(EXACT("Shaman",MP5!$H$4),"Unrelenting Storm 5/5",IF(EXACT("Warlock",MP5!$H$4),"Demonic Embrace 5/5","Nothing")))))</f>
        <v>Living Spirit</v>
      </c>
      <c r="H8" s="46" t="s">
        <v>7</v>
      </c>
    </row>
    <row r="9" spans="4:11" ht="12.75">
      <c r="D9" s="15"/>
      <c r="E9" s="15"/>
      <c r="G9" s="44" t="str">
        <f>IF(EXACT("Druid",MP5!$H$4),"Form",IF(EXACT("Mage",MP5!$H$4),"Mage - Self-Buff",IF(EXACT("Shaman",MP5!$H$4),"Watershield","Nothing")))</f>
        <v>Form</v>
      </c>
      <c r="H9" s="7" t="s">
        <v>240</v>
      </c>
      <c r="I9" s="131" t="s">
        <v>59</v>
      </c>
      <c r="J9" s="132"/>
      <c r="K9" s="132"/>
    </row>
    <row r="11" spans="2:3" ht="12.75">
      <c r="B11" s="123" t="s">
        <v>9</v>
      </c>
      <c r="C11" s="124"/>
    </row>
    <row r="12" spans="2:8" ht="12.75">
      <c r="B12" s="127" t="s">
        <v>11</v>
      </c>
      <c r="C12" s="128"/>
      <c r="D12" s="20">
        <f>(((D5/X!C7)+X!B7)*2.5*X!B8)+D8</f>
        <v>132</v>
      </c>
      <c r="E12" s="21">
        <f>(((E5/X!C7)+X!B7)*2.5*X!B8)+E8</f>
        <v>211.78333333333336</v>
      </c>
      <c r="G12" s="17" t="s">
        <v>10</v>
      </c>
      <c r="H12" s="18"/>
    </row>
    <row r="13" spans="2:8" ht="12.75">
      <c r="B13" s="127" t="s">
        <v>13</v>
      </c>
      <c r="C13" s="128"/>
      <c r="D13" s="20">
        <f>(((D5/X!C7)+X!B7)*2.5)+D8</f>
        <v>262.08333333333337</v>
      </c>
      <c r="E13" s="21">
        <f>(((E5/X!C7)+X!B7)*2.5)+E8</f>
        <v>382.19444444444446</v>
      </c>
      <c r="G13" s="22" t="s">
        <v>12</v>
      </c>
      <c r="H13" s="6" t="s">
        <v>241</v>
      </c>
    </row>
    <row r="14" spans="2:8" ht="12.75">
      <c r="B14" s="127" t="s">
        <v>15</v>
      </c>
      <c r="C14" s="128"/>
      <c r="D14" s="25">
        <f>((D13-D8)*4*5)+(D8*4)</f>
        <v>4021.6666666666674</v>
      </c>
      <c r="E14" s="8">
        <f>((E13-E8)*4*5)+(E8*4)</f>
        <v>5423.888888888889</v>
      </c>
      <c r="G14" s="22" t="s">
        <v>16</v>
      </c>
      <c r="H14" s="6" t="s">
        <v>14</v>
      </c>
    </row>
    <row r="15" spans="7:8" ht="12.75">
      <c r="G15" s="22" t="s">
        <v>18</v>
      </c>
      <c r="H15" s="6" t="s">
        <v>14</v>
      </c>
    </row>
    <row r="16" spans="2:8" ht="12.75">
      <c r="B16" s="123" t="s">
        <v>17</v>
      </c>
      <c r="C16" s="124"/>
      <c r="G16" s="23" t="s">
        <v>19</v>
      </c>
      <c r="H16" s="24" t="s">
        <v>7</v>
      </c>
    </row>
    <row r="17" spans="2:8" ht="12.75">
      <c r="B17" s="127" t="s">
        <v>11</v>
      </c>
      <c r="C17" s="128"/>
      <c r="D17" s="20">
        <f>((0.001+D5*X!H3*(D6^0.5))*5*X!B8)+D8</f>
        <v>157.66403951892374</v>
      </c>
      <c r="E17" s="21">
        <f>((0.001+E5*X!H3*(E6^0.5))*5*X!B8)+E8</f>
        <v>262.19146188254433</v>
      </c>
      <c r="G17" s="22" t="s">
        <v>21</v>
      </c>
      <c r="H17" s="6" t="s">
        <v>14</v>
      </c>
    </row>
    <row r="18" spans="2:8" ht="12.75">
      <c r="B18" s="127" t="s">
        <v>13</v>
      </c>
      <c r="C18" s="128"/>
      <c r="D18" s="20">
        <f>((0.001+D5*X!H3*(D6^0.5))*5)+D8</f>
        <v>347.63013172974576</v>
      </c>
      <c r="E18" s="21">
        <f>((0.001+E5*X!H3*(E6^0.5))*5)+E8</f>
        <v>550.2215396084812</v>
      </c>
      <c r="G18" s="22" t="s">
        <v>22</v>
      </c>
      <c r="H18" s="6" t="s">
        <v>7</v>
      </c>
    </row>
    <row r="19" spans="2:8" ht="12.75">
      <c r="B19" s="127" t="s">
        <v>15</v>
      </c>
      <c r="C19" s="128"/>
      <c r="D19" s="25">
        <f>((D18-D8)*4*5)+(D8*4)</f>
        <v>5732.602634594915</v>
      </c>
      <c r="E19" s="21">
        <f>((E18-E8)*4*5)+(E8*4)</f>
        <v>8784.430792169624</v>
      </c>
      <c r="G19" s="23" t="s">
        <v>23</v>
      </c>
      <c r="H19" s="24" t="s">
        <v>20</v>
      </c>
    </row>
    <row r="20" spans="2:8" ht="12.75">
      <c r="B20" s="127"/>
      <c r="C20" s="128"/>
      <c r="D20" s="20"/>
      <c r="E20" s="21"/>
      <c r="G20" s="22" t="s">
        <v>25</v>
      </c>
      <c r="H20" s="6" t="s">
        <v>7</v>
      </c>
    </row>
    <row r="21" spans="2:8" ht="12.75">
      <c r="B21" s="127" t="s">
        <v>24</v>
      </c>
      <c r="C21" s="128"/>
      <c r="D21" s="20">
        <f>D17-D12</f>
        <v>25.664039518923744</v>
      </c>
      <c r="E21" s="21">
        <f>E17-E12</f>
        <v>50.40812854921097</v>
      </c>
      <c r="G21" s="23" t="s">
        <v>27</v>
      </c>
      <c r="H21" s="24" t="s">
        <v>7</v>
      </c>
    </row>
    <row r="22" spans="2:8" ht="12.75">
      <c r="B22" s="127" t="s">
        <v>26</v>
      </c>
      <c r="C22" s="128"/>
      <c r="D22" s="20">
        <f>D18-D13</f>
        <v>85.54679839641238</v>
      </c>
      <c r="E22" s="21">
        <f>E18-E13</f>
        <v>168.02709516403672</v>
      </c>
      <c r="G22" s="22" t="s">
        <v>28</v>
      </c>
      <c r="H22" s="6" t="s">
        <v>7</v>
      </c>
    </row>
    <row r="23" spans="2:8" ht="12.75">
      <c r="B23" s="127"/>
      <c r="C23" s="128"/>
      <c r="D23" s="26"/>
      <c r="E23" s="22"/>
      <c r="G23" s="22" t="s">
        <v>30</v>
      </c>
      <c r="H23" s="42" t="s">
        <v>7</v>
      </c>
    </row>
    <row r="24" spans="2:8" ht="12.75">
      <c r="B24" s="127" t="s">
        <v>29</v>
      </c>
      <c r="C24" s="128"/>
      <c r="D24" s="27">
        <f>X!C2-X!B2</f>
        <v>0.3049158783480408</v>
      </c>
      <c r="E24" s="28">
        <f>X!E2-X!D2</f>
        <v>0.3329915346170367</v>
      </c>
      <c r="G24" s="45" t="s">
        <v>60</v>
      </c>
      <c r="H24" s="42" t="s">
        <v>7</v>
      </c>
    </row>
    <row r="25" spans="2:8" ht="12.75">
      <c r="B25" s="127" t="s">
        <v>31</v>
      </c>
      <c r="C25" s="128"/>
      <c r="D25" s="27">
        <f>X!C3-X!B3</f>
        <v>0.08565235353530909</v>
      </c>
      <c r="E25" s="28">
        <f>X!E3-X!D3</f>
        <v>0.10890161966550238</v>
      </c>
      <c r="G25" s="22" t="s">
        <v>32</v>
      </c>
      <c r="H25" s="14" t="s">
        <v>14</v>
      </c>
    </row>
    <row r="26" spans="2:8" ht="12.75">
      <c r="B26" s="129" t="s">
        <v>56</v>
      </c>
      <c r="C26" s="130"/>
      <c r="D26" s="27">
        <f>X!C4-X!B4</f>
        <v>1.0163862611601644</v>
      </c>
      <c r="E26" s="28">
        <f>X!E4-X!D4</f>
        <v>1.109971782056789</v>
      </c>
      <c r="G26" s="22" t="s">
        <v>33</v>
      </c>
      <c r="H26" s="14" t="s">
        <v>7</v>
      </c>
    </row>
    <row r="27" spans="2:8" ht="12.75">
      <c r="B27" s="129" t="s">
        <v>57</v>
      </c>
      <c r="C27" s="130"/>
      <c r="D27" s="27">
        <f>X!C5-X!B5</f>
        <v>0.28550784511770644</v>
      </c>
      <c r="E27" s="28">
        <f>X!E5-X!D5</f>
        <v>0.3630053988849795</v>
      </c>
      <c r="G27" s="23" t="s">
        <v>34</v>
      </c>
      <c r="H27" s="24" t="s">
        <v>7</v>
      </c>
    </row>
    <row r="28" spans="2:3" ht="12.75">
      <c r="B28" s="39"/>
      <c r="C28" s="39"/>
    </row>
    <row r="30" spans="2:9" ht="12.75">
      <c r="B30" s="123" t="s">
        <v>40</v>
      </c>
      <c r="C30" s="124"/>
      <c r="D30" s="35"/>
      <c r="E30" s="4" t="s">
        <v>2</v>
      </c>
      <c r="F30" s="35"/>
      <c r="G30" s="16" t="s">
        <v>39</v>
      </c>
      <c r="H30" s="35"/>
      <c r="I30" s="17" t="s">
        <v>2</v>
      </c>
    </row>
    <row r="31" spans="2:9" ht="12.75">
      <c r="B31" s="125" t="s">
        <v>4</v>
      </c>
      <c r="C31" s="126"/>
      <c r="D31" s="122">
        <v>1</v>
      </c>
      <c r="E31" s="37">
        <f>(D31*(IF(EXACT("Yes",$H$15),1.1,1))*(IF(EXACT("Yes",H8),1.05,1))*IF(EXACT("Human",$H$13),1.1,1))</f>
        <v>1.1</v>
      </c>
      <c r="F31" s="35"/>
      <c r="G31" s="19" t="s">
        <v>24</v>
      </c>
      <c r="H31" s="36">
        <f>ROUNDDOWN(H32*X!B8,2)</f>
        <v>0.39</v>
      </c>
      <c r="I31" s="37">
        <f>ROUNDDOWN(I32*X!B8,2)</f>
        <v>0.43</v>
      </c>
    </row>
    <row r="32" spans="2:9" ht="12.75">
      <c r="B32" s="125" t="s">
        <v>6</v>
      </c>
      <c r="C32" s="126"/>
      <c r="D32" s="122">
        <v>1</v>
      </c>
      <c r="E32" s="37">
        <f>D32*(IF(EXACT("Yes",$H$15),1.1,1))*IF(EXACT("Gnome",$H$13),1.05,1)</f>
        <v>1.1</v>
      </c>
      <c r="F32" s="35"/>
      <c r="G32" s="19" t="s">
        <v>26</v>
      </c>
      <c r="H32" s="36">
        <f>5*((0.001+X!H3*SQRT(D6+D32)*(D5+D31))-(0.001+X!H3*SQRT(D6)*(D5)))</f>
        <v>1.30296342404975</v>
      </c>
      <c r="I32" s="37">
        <f>5*((0.001+X!H3*SQRT(D6+E32)*(D5+E31))-(0.001+X!H3*SQRT(D6)*(D5)))</f>
        <v>1.4333608218110427</v>
      </c>
    </row>
    <row r="33" ht="12.75">
      <c r="I33" s="39"/>
    </row>
    <row r="34" spans="2:5" ht="12.75">
      <c r="B34" s="123" t="s">
        <v>237</v>
      </c>
      <c r="C34" s="124"/>
      <c r="D34" s="35"/>
      <c r="E34" s="4" t="s">
        <v>2</v>
      </c>
    </row>
    <row r="35" spans="2:5" ht="12.75">
      <c r="B35" s="125" t="s">
        <v>238</v>
      </c>
      <c r="C35" s="126"/>
      <c r="D35" s="122">
        <v>300</v>
      </c>
      <c r="E35" s="37">
        <f>(D35*(IF(EXACT("Yes",$H$15),1.1,1))*IF(EXACT("Yes",$H$8),IF(EXACT("Druid",$H$4),1.15,IF(EXACT("Priest",$H$4),1.05,1)),1)*IF(EXACT("Human",$H$13),1.1,1))</f>
        <v>330</v>
      </c>
    </row>
    <row r="36" spans="2:5" ht="12.75">
      <c r="B36" s="127" t="s">
        <v>11</v>
      </c>
      <c r="C36" s="128"/>
      <c r="D36" s="20">
        <f>((0.001+(D5+(D35*IF(EXACT("Yes",$H$8),IF(EXACT("Druid",$H$4),1.15,IF(EXACT("Priest",$H$4),1.05,1)),1)*IF(EXACT("Human",$H$13),1.1,1)))*X!H3*(D6^0.5))*5*X!B8)+D8</f>
        <v>249.13880302333243</v>
      </c>
      <c r="E36" s="21">
        <f>((0.001+(E5+E35)*X!H3*(E6^0.5))*5*X!B8)+E8</f>
        <v>372.0786683061743</v>
      </c>
    </row>
    <row r="37" spans="2:5" ht="12.75">
      <c r="B37" s="127" t="s">
        <v>13</v>
      </c>
      <c r="C37" s="128"/>
      <c r="D37" s="20">
        <f>((0.001+(D5+(D35*IF(EXACT("Yes",$H$8),IF(EXACT("Druid",$H$4),1.15,IF(EXACT("Priest",$H$4),1.05,1)),1)*IF(EXACT("Human",$H$13),1.1,1)))*X!H3*(D6^0.5))*5)+D8</f>
        <v>652.5460100777748</v>
      </c>
      <c r="E37" s="21">
        <f>((0.001+(E5+E35)*X!H3*(E6^0.5))*5)+E8</f>
        <v>916.5122276872477</v>
      </c>
    </row>
    <row r="38" spans="2:5" ht="12.75">
      <c r="B38" s="127" t="s">
        <v>15</v>
      </c>
      <c r="C38" s="128"/>
      <c r="D38" s="25">
        <f>((D37-D8)*4*5)+(D8*4)</f>
        <v>11830.920201555495</v>
      </c>
      <c r="E38" s="8">
        <f>((E37-E8)*4*5)+(E8*4)</f>
        <v>16110.244553744953</v>
      </c>
    </row>
  </sheetData>
  <mergeCells count="30">
    <mergeCell ref="B4:C4"/>
    <mergeCell ref="B5:C5"/>
    <mergeCell ref="B25:C25"/>
    <mergeCell ref="B26:C26"/>
    <mergeCell ref="B8:C8"/>
    <mergeCell ref="B12:C12"/>
    <mergeCell ref="B2:G2"/>
    <mergeCell ref="B30:C30"/>
    <mergeCell ref="B18:C18"/>
    <mergeCell ref="B19:C19"/>
    <mergeCell ref="B20:C20"/>
    <mergeCell ref="B21:C21"/>
    <mergeCell ref="B14:C14"/>
    <mergeCell ref="B16:C16"/>
    <mergeCell ref="B6:C6"/>
    <mergeCell ref="B11:C11"/>
    <mergeCell ref="B38:C38"/>
    <mergeCell ref="B13:C13"/>
    <mergeCell ref="B27:C27"/>
    <mergeCell ref="I9:K9"/>
    <mergeCell ref="B17:C17"/>
    <mergeCell ref="B31:C31"/>
    <mergeCell ref="B32:C32"/>
    <mergeCell ref="B22:C22"/>
    <mergeCell ref="B23:C23"/>
    <mergeCell ref="B24:C24"/>
    <mergeCell ref="B34:C34"/>
    <mergeCell ref="B35:C35"/>
    <mergeCell ref="B36:C36"/>
    <mergeCell ref="B37:C37"/>
  </mergeCells>
  <dataValidations count="13">
    <dataValidation type="list" allowBlank="1" showErrorMessage="1" sqref="H7">
      <formula1>"0%, 1%, 2%, 3%, 4%, 5%"</formula1>
    </dataValidation>
    <dataValidation type="list" allowBlank="1" showInputMessage="1" showErrorMessage="1" sqref="H9">
      <formula1>FormSelfBuffSwitch</formula1>
    </dataValidation>
    <dataValidation type="list" allowBlank="1" showErrorMessage="1" sqref="H8 H20:H22 H14:H15 H17 H25:H26">
      <formula1>"Yes,No"</formula1>
      <formula2>0</formula2>
    </dataValidation>
    <dataValidation type="list" allowBlank="1" showErrorMessage="1" sqref="H13">
      <formula1>"Human,Gnome,Other"</formula1>
      <formula2>0</formula2>
    </dataValidation>
    <dataValidation type="list" allowBlank="1" showErrorMessage="1" sqref="H27">
      <formula1>"Superior,Brilliant,No"</formula1>
      <formula2>0</formula2>
    </dataValidation>
    <dataValidation type="list" allowBlank="1" showErrorMessage="1" sqref="H18:H19 H16">
      <formula1>"Improved,Yes,No"</formula1>
      <formula2>0</formula2>
    </dataValidation>
    <dataValidation type="list" operator="equal" allowBlank="1" sqref="H23:H24">
      <formula1>"Yes,No"</formula1>
    </dataValidation>
    <dataValidation type="list" allowBlank="1" showErrorMessage="1" sqref="H6">
      <formula1>"3/3,2/3,1/3,0/3"</formula1>
      <formula2>0</formula2>
    </dataValidation>
    <dataValidation type="list" operator="equal" allowBlank="1" sqref="H5">
      <formula1>"Yes,No,,"</formula1>
    </dataValidation>
    <dataValidation type="list" operator="equal" allowBlank="1" sqref="H4">
      <formula1>"Druid, Priest, Mage, Shaman, Warlock, Paladin, Hunter"</formula1>
    </dataValidation>
    <dataValidation type="list" allowBlank="1" showInputMessage="1" showErrorMessage="1" sqref="I4">
      <formula1>Level</formula1>
    </dataValidation>
    <dataValidation type="list" operator="equal" allowBlank="1" showInputMessage="1" promptTitle="Version of World of Warcraft" prompt="&#10;Select the Version of WoW you used,&#10;when looking up the MP5 (Charscreen) Value." sqref="C7">
      <formula1>"Patch 2.3, Patch 2.4"</formula1>
    </dataValidation>
    <dataValidation allowBlank="1" showInputMessage="1" showErrorMessage="1" promptTitle="MP5 Value while casting" prompt="&#10;Insert the MP5 Value from the Charscreen.&#10;&#10;X mana regenerated every 5 seconds while casting.&#10;&#10;" sqref="D7"/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8"/>
  <sheetViews>
    <sheetView workbookViewId="0" topLeftCell="A1">
      <pane xSplit="30" ySplit="10" topLeftCell="AE11" activePane="bottomRight" state="frozen"/>
      <selection pane="topLeft" activeCell="A1" sqref="A1"/>
      <selection pane="topRight" activeCell="AE1" sqref="AE1"/>
      <selection pane="bottomLeft" activeCell="A11" sqref="A11"/>
      <selection pane="bottomRight" activeCell="B105" sqref="B103:AD105"/>
    </sheetView>
  </sheetViews>
  <sheetFormatPr defaultColWidth="11.421875" defaultRowHeight="12.75"/>
  <cols>
    <col min="1" max="1" width="6.57421875" style="0" bestFit="1" customWidth="1"/>
    <col min="2" max="2" width="33.00390625" style="0" bestFit="1" customWidth="1"/>
    <col min="3" max="3" width="3.8515625" style="0" bestFit="1" customWidth="1"/>
    <col min="4" max="4" width="3.00390625" style="0" bestFit="1" customWidth="1"/>
    <col min="5" max="5" width="3.7109375" style="0" bestFit="1" customWidth="1"/>
    <col min="6" max="6" width="4.7109375" style="0" bestFit="1" customWidth="1"/>
    <col min="7" max="7" width="5.8515625" style="0" bestFit="1" customWidth="1"/>
    <col min="8" max="8" width="4.7109375" style="0" bestFit="1" customWidth="1"/>
    <col min="9" max="9" width="5.140625" style="0" bestFit="1" customWidth="1"/>
    <col min="10" max="10" width="4.7109375" style="0" bestFit="1" customWidth="1"/>
    <col min="11" max="11" width="6.421875" style="0" bestFit="1" customWidth="1"/>
    <col min="12" max="12" width="6.8515625" style="0" bestFit="1" customWidth="1"/>
    <col min="13" max="13" width="5.140625" style="0" bestFit="1" customWidth="1"/>
    <col min="14" max="14" width="3.00390625" style="0" bestFit="1" customWidth="1"/>
    <col min="15" max="15" width="3.7109375" style="0" bestFit="1" customWidth="1"/>
    <col min="16" max="16" width="4.7109375" style="0" bestFit="1" customWidth="1"/>
    <col min="17" max="17" width="4.57421875" style="0" customWidth="1"/>
    <col min="18" max="18" width="3.140625" style="0" hidden="1" customWidth="1"/>
    <col min="19" max="19" width="4.140625" style="81" customWidth="1"/>
    <col min="20" max="20" width="4.57421875" style="81" hidden="1" customWidth="1"/>
    <col min="21" max="22" width="4.140625" style="81" hidden="1" customWidth="1"/>
    <col min="23" max="23" width="8.140625" style="0" bestFit="1" customWidth="1"/>
    <col min="24" max="24" width="6.140625" style="81" bestFit="1" customWidth="1"/>
    <col min="25" max="25" width="7.57421875" style="81" customWidth="1"/>
    <col min="26" max="26" width="6.8515625" style="81" customWidth="1"/>
    <col min="27" max="27" width="7.57421875" style="81" customWidth="1"/>
    <col min="28" max="28" width="6.7109375" style="81" customWidth="1"/>
    <col min="29" max="29" width="8.140625" style="81" customWidth="1"/>
    <col min="30" max="30" width="6.140625" style="81" bestFit="1" customWidth="1"/>
    <col min="31" max="31" width="12.8515625" style="0" customWidth="1"/>
    <col min="32" max="32" width="4.7109375" style="0" bestFit="1" customWidth="1"/>
    <col min="33" max="33" width="5.7109375" style="0" customWidth="1"/>
    <col min="34" max="34" width="5.140625" style="0" bestFit="1" customWidth="1"/>
    <col min="35" max="35" width="4.57421875" style="0" bestFit="1" customWidth="1"/>
    <col min="36" max="36" width="7.140625" style="0" bestFit="1" customWidth="1"/>
    <col min="37" max="37" width="4.7109375" style="0" bestFit="1" customWidth="1"/>
    <col min="38" max="38" width="6.00390625" style="0" bestFit="1" customWidth="1"/>
    <col min="39" max="39" width="5.140625" style="0" bestFit="1" customWidth="1"/>
    <col min="40" max="40" width="4.57421875" style="0" bestFit="1" customWidth="1"/>
    <col min="41" max="41" width="7.140625" style="0" bestFit="1" customWidth="1"/>
    <col min="42" max="16384" width="9.140625" style="0" customWidth="1"/>
  </cols>
  <sheetData>
    <row r="1" spans="1:28" ht="21" thickTop="1">
      <c r="A1" s="144" t="s">
        <v>231</v>
      </c>
      <c r="B1" s="141"/>
      <c r="C1" s="141"/>
      <c r="D1" s="142"/>
      <c r="E1" s="140" t="s">
        <v>221</v>
      </c>
      <c r="F1" s="141"/>
      <c r="G1" s="141"/>
      <c r="H1" s="141"/>
      <c r="I1" s="141"/>
      <c r="J1" s="141"/>
      <c r="K1" s="141"/>
      <c r="L1" s="142"/>
      <c r="M1" s="143" t="s">
        <v>197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2"/>
      <c r="AA1" s="119"/>
      <c r="AB1" s="119"/>
    </row>
    <row r="2" spans="1:26" ht="12.75">
      <c r="A2" s="92"/>
      <c r="B2" s="81"/>
      <c r="C2" s="81"/>
      <c r="D2" s="89"/>
      <c r="E2" s="73"/>
      <c r="H2" s="79" t="s">
        <v>65</v>
      </c>
      <c r="I2" s="79" t="s">
        <v>66</v>
      </c>
      <c r="J2" s="79" t="s">
        <v>68</v>
      </c>
      <c r="K2" s="79" t="s">
        <v>67</v>
      </c>
      <c r="L2" s="86" t="s">
        <v>218</v>
      </c>
      <c r="M2" s="92"/>
      <c r="N2" s="81"/>
      <c r="O2" s="70" t="s">
        <v>189</v>
      </c>
      <c r="Q2" s="81"/>
      <c r="R2" s="81"/>
      <c r="W2" s="69" t="s">
        <v>65</v>
      </c>
      <c r="X2" s="69" t="s">
        <v>66</v>
      </c>
      <c r="Y2" s="69" t="s">
        <v>67</v>
      </c>
      <c r="Z2" s="82" t="s">
        <v>68</v>
      </c>
    </row>
    <row r="3" spans="1:26" ht="12.75">
      <c r="A3" s="92"/>
      <c r="B3" s="81" t="s">
        <v>229</v>
      </c>
      <c r="C3" s="154" t="s">
        <v>14</v>
      </c>
      <c r="D3" s="146"/>
      <c r="E3" s="116" t="s">
        <v>216</v>
      </c>
      <c r="F3" s="117"/>
      <c r="G3" s="117"/>
      <c r="H3" s="95"/>
      <c r="I3" s="96"/>
      <c r="J3" s="97"/>
      <c r="K3" s="96">
        <v>10</v>
      </c>
      <c r="L3" s="98" t="s">
        <v>211</v>
      </c>
      <c r="M3" s="92"/>
      <c r="N3" s="81"/>
      <c r="O3" s="68" t="s">
        <v>236</v>
      </c>
      <c r="Q3" s="81"/>
      <c r="R3" s="81"/>
      <c r="W3" s="106">
        <v>2.8</v>
      </c>
      <c r="X3" s="106">
        <v>1</v>
      </c>
      <c r="Y3" s="106">
        <v>1.3</v>
      </c>
      <c r="Z3" s="98">
        <v>0.5</v>
      </c>
    </row>
    <row r="4" spans="1:26" ht="12.75">
      <c r="A4" s="92"/>
      <c r="B4" s="81" t="s">
        <v>230</v>
      </c>
      <c r="C4" s="153" t="s">
        <v>14</v>
      </c>
      <c r="D4" s="146"/>
      <c r="E4" s="116" t="s">
        <v>214</v>
      </c>
      <c r="F4" s="117"/>
      <c r="G4" s="117"/>
      <c r="H4" s="99">
        <v>2</v>
      </c>
      <c r="I4" s="100"/>
      <c r="J4" s="100">
        <v>5</v>
      </c>
      <c r="K4" s="101"/>
      <c r="L4" s="102" t="s">
        <v>211</v>
      </c>
      <c r="M4" s="92"/>
      <c r="N4" s="81"/>
      <c r="O4" s="72"/>
      <c r="Q4" s="81"/>
      <c r="R4" s="81"/>
      <c r="W4" s="69"/>
      <c r="X4" s="68"/>
      <c r="Y4" s="68"/>
      <c r="Z4" s="83"/>
    </row>
    <row r="5" spans="1:26" ht="12.75">
      <c r="A5" s="92"/>
      <c r="B5" s="81" t="s">
        <v>235</v>
      </c>
      <c r="C5" s="151">
        <v>5</v>
      </c>
      <c r="D5" s="152"/>
      <c r="E5" s="116" t="s">
        <v>212</v>
      </c>
      <c r="F5" s="117"/>
      <c r="G5" s="117"/>
      <c r="H5" s="103"/>
      <c r="I5" s="104">
        <v>22</v>
      </c>
      <c r="J5" s="105"/>
      <c r="K5" s="104"/>
      <c r="L5" s="98" t="s">
        <v>211</v>
      </c>
      <c r="M5" s="92"/>
      <c r="N5" s="81"/>
      <c r="O5" s="70" t="s">
        <v>189</v>
      </c>
      <c r="Q5" s="81"/>
      <c r="R5" s="81"/>
      <c r="W5" s="69" t="s">
        <v>75</v>
      </c>
      <c r="X5" s="69" t="s">
        <v>72</v>
      </c>
      <c r="Y5" s="69" t="s">
        <v>70</v>
      </c>
      <c r="Z5" s="82" t="s">
        <v>71</v>
      </c>
    </row>
    <row r="6" spans="1:26" ht="12.75">
      <c r="A6" s="92"/>
      <c r="B6" s="73" t="s">
        <v>233</v>
      </c>
      <c r="C6" s="145">
        <v>0</v>
      </c>
      <c r="D6" s="146"/>
      <c r="E6" s="147" t="s">
        <v>69</v>
      </c>
      <c r="F6" s="148"/>
      <c r="G6" s="149"/>
      <c r="H6" s="106"/>
      <c r="I6" s="106"/>
      <c r="J6" s="100">
        <v>11</v>
      </c>
      <c r="K6" s="106"/>
      <c r="L6" s="98"/>
      <c r="M6" s="92"/>
      <c r="N6" s="81"/>
      <c r="O6" s="68" t="s">
        <v>192</v>
      </c>
      <c r="Q6" s="81"/>
      <c r="R6" s="81"/>
      <c r="W6" s="107">
        <v>1</v>
      </c>
      <c r="X6" s="107">
        <v>18</v>
      </c>
      <c r="Y6" s="107">
        <v>18</v>
      </c>
      <c r="Z6" s="102">
        <v>18</v>
      </c>
    </row>
    <row r="7" spans="1:26" ht="12.75">
      <c r="A7" s="92"/>
      <c r="B7" s="81" t="s">
        <v>232</v>
      </c>
      <c r="C7" s="150">
        <v>0.7</v>
      </c>
      <c r="D7" s="146"/>
      <c r="E7" s="115" t="s">
        <v>209</v>
      </c>
      <c r="H7" s="78"/>
      <c r="I7" s="77"/>
      <c r="J7" s="76"/>
      <c r="K7" s="76"/>
      <c r="L7" s="87"/>
      <c r="M7" s="92"/>
      <c r="N7" s="81"/>
      <c r="O7" s="71"/>
      <c r="Q7" s="81"/>
      <c r="R7" s="81"/>
      <c r="W7" s="68"/>
      <c r="X7" s="68"/>
      <c r="Y7" s="68"/>
      <c r="Z7" s="83"/>
    </row>
    <row r="8" spans="1:26" ht="12.75">
      <c r="A8" s="92"/>
      <c r="D8" s="121"/>
      <c r="E8" s="75" t="s">
        <v>207</v>
      </c>
      <c r="H8" s="75"/>
      <c r="I8" s="67"/>
      <c r="J8" s="67"/>
      <c r="K8" s="67"/>
      <c r="L8" s="88"/>
      <c r="M8" s="92"/>
      <c r="N8" s="81"/>
      <c r="O8" s="70" t="s">
        <v>189</v>
      </c>
      <c r="Q8" s="81"/>
      <c r="R8" s="81"/>
      <c r="W8" s="69" t="s">
        <v>74</v>
      </c>
      <c r="X8" s="69" t="s">
        <v>73</v>
      </c>
      <c r="Y8" s="68"/>
      <c r="Z8" s="82" t="s">
        <v>69</v>
      </c>
    </row>
    <row r="9" spans="1:26" ht="13.5" thickBot="1">
      <c r="A9" s="118"/>
      <c r="B9" s="93"/>
      <c r="C9" s="93"/>
      <c r="D9" s="94"/>
      <c r="E9" s="75" t="s">
        <v>205</v>
      </c>
      <c r="H9" s="75"/>
      <c r="I9" s="67"/>
      <c r="J9" s="67"/>
      <c r="K9" s="67"/>
      <c r="L9" s="88"/>
      <c r="M9" s="118"/>
      <c r="N9" s="93"/>
      <c r="O9" s="84" t="s">
        <v>187</v>
      </c>
      <c r="Q9" s="93"/>
      <c r="R9" s="93"/>
      <c r="S9" s="93"/>
      <c r="T9" s="93"/>
      <c r="U9" s="93"/>
      <c r="V9" s="93"/>
      <c r="W9" s="108">
        <v>1</v>
      </c>
      <c r="X9" s="108">
        <v>1</v>
      </c>
      <c r="Y9" s="85"/>
      <c r="Z9" s="109">
        <v>36</v>
      </c>
    </row>
    <row r="10" spans="1:30" ht="21.75" thickBot="1" thickTop="1">
      <c r="A10" s="113" t="s">
        <v>226</v>
      </c>
      <c r="B10" s="114" t="s">
        <v>225</v>
      </c>
      <c r="C10" s="155" t="s">
        <v>224</v>
      </c>
      <c r="D10" s="156"/>
      <c r="E10" s="156"/>
      <c r="F10" s="156"/>
      <c r="G10" s="156"/>
      <c r="H10" s="156"/>
      <c r="I10" s="157"/>
      <c r="J10" s="155" t="s">
        <v>223</v>
      </c>
      <c r="K10" s="156"/>
      <c r="L10" s="156"/>
      <c r="M10" s="157"/>
      <c r="N10" s="155" t="s">
        <v>222</v>
      </c>
      <c r="O10" s="158"/>
      <c r="P10" s="158"/>
      <c r="Q10" s="158"/>
      <c r="R10" s="158"/>
      <c r="S10" s="158"/>
      <c r="T10" s="161" t="s">
        <v>228</v>
      </c>
      <c r="U10" s="158"/>
      <c r="V10" s="158"/>
      <c r="W10" s="159" t="s">
        <v>227</v>
      </c>
      <c r="X10" s="160"/>
      <c r="Y10" s="159" t="s">
        <v>13</v>
      </c>
      <c r="Z10" s="162"/>
      <c r="AA10" s="163">
        <f>C7</f>
        <v>0.7</v>
      </c>
      <c r="AB10" s="160"/>
      <c r="AC10" s="159" t="s">
        <v>66</v>
      </c>
      <c r="AD10" s="160"/>
    </row>
    <row r="11" spans="1:30" ht="13.5" thickTop="1">
      <c r="A11" s="59" t="s">
        <v>77</v>
      </c>
      <c r="B11" s="63" t="s">
        <v>220</v>
      </c>
      <c r="C11" s="62" t="s">
        <v>75</v>
      </c>
      <c r="D11" s="60" t="s">
        <v>68</v>
      </c>
      <c r="E11" s="60" t="s">
        <v>67</v>
      </c>
      <c r="F11" s="60" t="s">
        <v>66</v>
      </c>
      <c r="G11" s="60" t="s">
        <v>74</v>
      </c>
      <c r="H11" s="60" t="s">
        <v>65</v>
      </c>
      <c r="I11" s="60" t="s">
        <v>73</v>
      </c>
      <c r="J11" s="61" t="s">
        <v>72</v>
      </c>
      <c r="K11" s="59" t="s">
        <v>71</v>
      </c>
      <c r="L11" s="59" t="s">
        <v>70</v>
      </c>
      <c r="M11" s="59" t="s">
        <v>69</v>
      </c>
      <c r="N11" s="61" t="s">
        <v>68</v>
      </c>
      <c r="O11" s="59" t="s">
        <v>67</v>
      </c>
      <c r="P11" s="60" t="s">
        <v>66</v>
      </c>
      <c r="Q11" s="59" t="s">
        <v>65</v>
      </c>
      <c r="R11" s="80"/>
      <c r="S11" s="59" t="s">
        <v>64</v>
      </c>
      <c r="T11" s="61" t="s">
        <v>65</v>
      </c>
      <c r="U11" s="59" t="s">
        <v>68</v>
      </c>
      <c r="V11" s="59" t="s">
        <v>67</v>
      </c>
      <c r="W11" s="90" t="s">
        <v>1</v>
      </c>
      <c r="X11" s="91" t="s">
        <v>2</v>
      </c>
      <c r="Y11" s="90" t="s">
        <v>1</v>
      </c>
      <c r="Z11" s="91" t="s">
        <v>2</v>
      </c>
      <c r="AA11" s="59" t="s">
        <v>1</v>
      </c>
      <c r="AB11" s="59" t="s">
        <v>2</v>
      </c>
      <c r="AC11" s="90" t="s">
        <v>1</v>
      </c>
      <c r="AD11" s="91" t="s">
        <v>2</v>
      </c>
    </row>
    <row r="12" spans="1:30" ht="12.75">
      <c r="A12" s="51">
        <f>C12*W$6+D12*Z$3+E12*Y$3+F12*X$3+H12*W$3+J12*X$6+K12*Z$6+L12*Y$6+G12*W$9+I12*X9+M12*Z$9+(IF(S12="Y",((P12*X$3)+(Q12*W$3)+(O12*Y$3)+(N12*Z$3)),0))</f>
        <v>352</v>
      </c>
      <c r="B12" s="50" t="s">
        <v>219</v>
      </c>
      <c r="C12" s="49">
        <v>51</v>
      </c>
      <c r="D12" s="48">
        <v>42</v>
      </c>
      <c r="E12" s="48">
        <v>38</v>
      </c>
      <c r="F12" s="48">
        <v>141</v>
      </c>
      <c r="G12" s="48">
        <v>30</v>
      </c>
      <c r="H12" s="48"/>
      <c r="I12" s="48"/>
      <c r="J12" s="49"/>
      <c r="K12" s="48"/>
      <c r="L12" s="48">
        <v>1</v>
      </c>
      <c r="M12" s="48">
        <v>1</v>
      </c>
      <c r="N12" s="49"/>
      <c r="O12" s="48"/>
      <c r="P12" s="48"/>
      <c r="Q12" s="48">
        <v>2</v>
      </c>
      <c r="R12" s="47">
        <f aca="true" t="shared" si="0" ref="R12:R43">IF(AND(J12&gt;=1,L$3="Y",L$3="y"),1,0)+IF(AND(K12&gt;=1,L$4="Y",L$4="y"),1,0)+IF(AND(L12&gt;=1,L$5="Y",L$5="y"),1,0)+IF(AND(J12&gt;=1,L$3&lt;&gt;"Y",L$3&lt;&gt;"y"),-3,0)+IF(AND(K12&gt;=1,L$4&lt;&gt;"Y",L$4&lt;&gt;"y"),-3,0)+IF(AND(L12&gt;=1,L$5&lt;&gt;"Y",L$5&lt;&gt;"y"),-3,0)</f>
        <v>1</v>
      </c>
      <c r="S12" s="51" t="str">
        <f aca="true" t="shared" si="1" ref="S12:S21">IF(R12&gt;0,"Y","N")</f>
        <v>Y</v>
      </c>
      <c r="T12" s="52">
        <f aca="true" t="shared" si="2" ref="T12:T20">H12+(J12*H$3)+(K12*H$4)+(L12*H$5)+(M12*H$6)+IF(EXACT("Y",S12),Q12,0)</f>
        <v>2</v>
      </c>
      <c r="U12" s="51">
        <f aca="true" t="shared" si="3" ref="U12:U21">(D12+(J12*J$3)+(K12*J$4)+(L12*J$5)+(M12*J$6)+IF(EXACT("Y",S12),N12,0))*(1+C$6)</f>
        <v>53</v>
      </c>
      <c r="V12" s="51">
        <f aca="true" t="shared" si="4" ref="V12:V21">((((E12+(J12*K$3)+(K12*K$4)+(L12*K$5)+(M12*K$6)+IF(EXACT("Y",S12),O12,0))*IF(EXACT("Yes",C$3),1.1,1))*IF(EXACT("Yes",C$4),1.05,1)))*(1+C$6)</f>
        <v>43.89000000000001</v>
      </c>
      <c r="W12" s="92">
        <f>(ROUNDDOWN((Y12-T12)*X!B$8,2))+T12</f>
        <v>20.53</v>
      </c>
      <c r="X12" s="89">
        <f>(ROUNDDOWN((Z12-T12)*X!B$8,2))+T12</f>
        <v>25.07</v>
      </c>
      <c r="Y12" s="92">
        <f>(5*((0.001+X!H$3*SQRT(MP5!D$6+U12)*(MP5!D$5+V12))-(0.001+X!H$3*SQRT(MP5!D$6)*(MP5!D$5))))+T12</f>
        <v>63.77170599398323</v>
      </c>
      <c r="Z12" s="89">
        <f>(5*((0.001+X!H$3*SQRT(MP5!E$6+(U12*IF(EXACT("Yes",MP5!H$15),1.1,1)))*(MP5!E$5+(V12*IF(EXACT("Yes",MP5!H$15),1.1,1))))-(0.001+X!H$3*SQRT(MP5!E$6)*(MP5!E$5))))+T12</f>
        <v>78.93243942035082</v>
      </c>
      <c r="AA12" s="81">
        <f aca="true" t="shared" si="5" ref="AA12:AA21">((Y12-W12)*(1-C$7))+W12</f>
        <v>33.50251179819497</v>
      </c>
      <c r="AB12" s="89">
        <f aca="true" t="shared" si="6" ref="AB12:AB21">((Z12-X12)*(1-C$7))+X12</f>
        <v>41.228731826105246</v>
      </c>
      <c r="AC12" s="92">
        <f>F12+(J12*I$3)+(K12*I$4)+(L12*I$5)+(M12*I$6)+IF(EXACT("Y",S12),P12,0)+(IF(EXACT("Human",MP5!H$13),(((IF(EXACT("Y",S12),O12,0)+(J12*K$3)+(K12*K$4)+(L12*K$5)+(M12*K$6)+E12)*1.1)*IF(EXACT("Yes",MP5!H$8),1.05,1)*(0.05*C$5)),((IF(EXACT("Y",S12),O12,0)+(J12*K$3)+(K12*K$4)+(L12*K$5)+(M12*K$6)+E12)*IF(EXACT("Yes",MP5!H$8),1.05,1)*(0.05*C$5))))</f>
        <v>172.5</v>
      </c>
      <c r="AD12" s="89">
        <f>F12+(J12*I$3)+(K12*I$4)+(L12*I$5)+(M12*I$6)+IF(EXACT("Y",S12),P12,0)+((IF(EXACT("Human",MP5!H$13),(((IF(EXACT("Y",S12),O12,0)+(J12*K$3)+(K12*K$4)+(L12*K$5)+(M12*K$6)+E12)*1.1)*IF(EXACT("Yes",MP5!H$8),1.05,1)*(0.05*C$5)),((IF(EXACT("Y",S12),O12,0)+(J12*K$3)+(K12*K$4)+(L12*K$5)+(M12*K$6)+E12)*IF(EXACT("Yes",MP5!H$8),1.05,1)*(0.05*C$5))))*IF(EXACT("Yes",MP5!H$15),1.1,1))</f>
        <v>173.45</v>
      </c>
    </row>
    <row r="13" spans="1:30" ht="12.75">
      <c r="A13" s="51">
        <f aca="true" t="shared" si="7" ref="A13:A21">C13*W$6+D13*Z$3+E13*Y$3+F13*X$3+H13*W$3+J13*X$6+K13*Z$6+L13*Y$6+G13*W$9+I13*AH44+M13*Z$9+(IF(S13="Y",((P13*X$3)+(Q13*W$3)+(O13*Y$3)+(N13*Z$3)),0))</f>
        <v>297.3</v>
      </c>
      <c r="B13" s="53" t="s">
        <v>217</v>
      </c>
      <c r="C13" s="52">
        <v>36</v>
      </c>
      <c r="D13" s="51">
        <v>32</v>
      </c>
      <c r="E13" s="51">
        <v>33</v>
      </c>
      <c r="F13" s="51">
        <v>117</v>
      </c>
      <c r="G13" s="51"/>
      <c r="H13" s="51">
        <v>8</v>
      </c>
      <c r="I13" s="51"/>
      <c r="J13" s="52">
        <v>1</v>
      </c>
      <c r="K13" s="51"/>
      <c r="L13" s="51"/>
      <c r="M13" s="51">
        <v>1</v>
      </c>
      <c r="N13" s="52"/>
      <c r="O13" s="51"/>
      <c r="P13" s="51">
        <v>9</v>
      </c>
      <c r="Q13" s="51"/>
      <c r="R13" s="47">
        <f t="shared" si="0"/>
        <v>1</v>
      </c>
      <c r="S13" s="51" t="str">
        <f t="shared" si="1"/>
        <v>Y</v>
      </c>
      <c r="T13" s="52">
        <f t="shared" si="2"/>
        <v>8</v>
      </c>
      <c r="U13" s="51">
        <f t="shared" si="3"/>
        <v>43</v>
      </c>
      <c r="V13" s="51">
        <f t="shared" si="4"/>
        <v>49.665000000000006</v>
      </c>
      <c r="W13" s="92">
        <f>(ROUNDDOWN((Y13-T13)*X!B$8,2))+T13</f>
        <v>27.41</v>
      </c>
      <c r="X13" s="89">
        <f>(ROUNDDOWN((Z13-T13)*X!B$8,2))+T13</f>
        <v>31.98</v>
      </c>
      <c r="Y13" s="92">
        <f>(5*((0.001+X!H$3*SQRT(MP5!D$6+U13)*(MP5!D$5+V13))-(0.001+X!H$3*SQRT(MP5!D$6)*(MP5!D$5))))+T13</f>
        <v>72.73137938019136</v>
      </c>
      <c r="Z13" s="89">
        <f>(5*((0.001+X!H$3*SQRT(MP5!E$6+(U13*IF(EXACT("Yes",MP5!H$15),1.1,1)))*(MP5!E$5+(V13*IF(EXACT("Yes",MP5!H$15),1.1,1))))-(0.001+X!H$3*SQRT(MP5!E$6)*(MP5!E$5))))+T13</f>
        <v>87.9536224974706</v>
      </c>
      <c r="AA13" s="81">
        <f t="shared" si="5"/>
        <v>41.00641381405741</v>
      </c>
      <c r="AB13" s="89">
        <f t="shared" si="6"/>
        <v>48.77208674924118</v>
      </c>
      <c r="AC13" s="92">
        <f>F13+(J13*I$3)+(K13*I$4)+(L13*I$5)+(M13*I$6)+IF(EXACT("Y",S13),P13,0)+(IF(EXACT("Human",MP5!H$13),(((IF(EXACT("Y",S13),O13,0)+(J13*K$3)+(K13*K$4)+(L13*K$5)+(M13*K$6)+E13)*1.1)*IF(EXACT("Yes",MP5!H$8),1.05,1)*(0.05*C$5)),((IF(EXACT("Y",S13),O13,0)+(J13*K$3)+(K13*K$4)+(L13*K$5)+(M13*K$6)+E13)*IF(EXACT("Yes",MP5!H$8),1.05,1)*(0.05*C$5))))</f>
        <v>136.75</v>
      </c>
      <c r="AD13" s="89">
        <f>F13+(J13*I$3)+(K13*I$4)+(L13*I$5)+(M13*I$6)+IF(EXACT("Y",S13),P13,0)+((IF(EXACT("Human",MP5!H$13),(((IF(EXACT("Y",S13),O13,0)+(J13*K$3)+(K13*K$4)+(L13*K$5)+(M13*K$6)+E13)*1.1)*IF(EXACT("Yes",MP5!H$8),1.05,1)*(0.05*C$5)),((IF(EXACT("Y",S13),O13,0)+(J13*K$3)+(K13*K$4)+(L13*K$5)+(M13*K$6)+E13)*IF(EXACT("Yes",MP5!H$8),1.05,1)*(0.05*C$5))))*IF(EXACT("Yes",MP5!H$15),1.1,1))</f>
        <v>137.825</v>
      </c>
    </row>
    <row r="14" spans="1:30" ht="12.75">
      <c r="A14" s="51">
        <f t="shared" si="7"/>
        <v>288.1</v>
      </c>
      <c r="B14" s="53" t="s">
        <v>213</v>
      </c>
      <c r="C14" s="52">
        <v>39</v>
      </c>
      <c r="D14" s="51">
        <v>27</v>
      </c>
      <c r="E14" s="51">
        <v>42</v>
      </c>
      <c r="F14" s="51">
        <v>118</v>
      </c>
      <c r="G14" s="51"/>
      <c r="H14" s="51"/>
      <c r="I14" s="51"/>
      <c r="J14" s="52">
        <v>1</v>
      </c>
      <c r="K14" s="51"/>
      <c r="L14" s="51"/>
      <c r="M14" s="51">
        <v>1</v>
      </c>
      <c r="N14" s="52"/>
      <c r="O14" s="51"/>
      <c r="P14" s="51">
        <v>9</v>
      </c>
      <c r="Q14" s="51"/>
      <c r="R14" s="47">
        <f t="shared" si="0"/>
        <v>1</v>
      </c>
      <c r="S14" s="51" t="str">
        <f t="shared" si="1"/>
        <v>Y</v>
      </c>
      <c r="T14" s="52">
        <f t="shared" si="2"/>
        <v>0</v>
      </c>
      <c r="U14" s="51">
        <f t="shared" si="3"/>
        <v>38</v>
      </c>
      <c r="V14" s="51">
        <f t="shared" si="4"/>
        <v>60.06</v>
      </c>
      <c r="W14" s="92">
        <f>(ROUNDDOWN((Y14-T14)*X!B$8,2))+T14</f>
        <v>22.22</v>
      </c>
      <c r="X14" s="89">
        <f>(ROUNDDOWN((Z14-T14)*X!B$8,2))+T14</f>
        <v>27.26</v>
      </c>
      <c r="Y14" s="92">
        <f>(5*((0.001+X!H$3*SQRT(MP5!D$6+U14)*(MP5!D$5+V14))-(0.001+X!H$3*SQRT(MP5!D$6)*(MP5!D$5))))+T14</f>
        <v>74.08512868541749</v>
      </c>
      <c r="Z14" s="89">
        <f>(5*((0.001+X!H$3*SQRT(MP5!E$6+(U14*IF(EXACT("Yes",MP5!H$15),1.1,1)))*(MP5!E$5+(V14*IF(EXACT("Yes",MP5!H$15),1.1,1))))-(0.001+X!H$3*SQRT(MP5!E$6)*(MP5!E$5))))+T14</f>
        <v>90.89885189031477</v>
      </c>
      <c r="AA14" s="81">
        <f t="shared" si="5"/>
        <v>37.77953860562525</v>
      </c>
      <c r="AB14" s="89">
        <f t="shared" si="6"/>
        <v>46.35165556709444</v>
      </c>
      <c r="AC14" s="92">
        <f>F14+(J14*I$3)+(K14*I$4)+(L14*I$5)+(M14*I$6)+IF(EXACT("Y",S14),P14,0)+(IF(EXACT("Human",MP5!H$13),(((IF(EXACT("Y",S14),O14,0)+(J14*K$3)+(K14*K$4)+(L14*K$5)+(M14*K$6)+E14)*1.1)*IF(EXACT("Yes",MP5!H$8),1.05,1)*(0.05*C$5)),((IF(EXACT("Y",S14),O14,0)+(J14*K$3)+(K14*K$4)+(L14*K$5)+(M14*K$6)+E14)*IF(EXACT("Yes",MP5!H$8),1.05,1)*(0.05*C$5))))</f>
        <v>140</v>
      </c>
      <c r="AD14" s="89">
        <f>F14+(J14*I$3)+(K14*I$4)+(L14*I$5)+(M14*I$6)+IF(EXACT("Y",S14),P14,0)+((IF(EXACT("Human",MP5!H$13),(((IF(EXACT("Y",S14),O14,0)+(J14*K$3)+(K14*K$4)+(L14*K$5)+(M14*K$6)+E14)*1.1)*IF(EXACT("Yes",MP5!H$8),1.05,1)*(0.05*C$5)),((IF(EXACT("Y",S14),O14,0)+(J14*K$3)+(K14*K$4)+(L14*K$5)+(M14*K$6)+E14)*IF(EXACT("Yes",MP5!H$8),1.05,1)*(0.05*C$5))))*IF(EXACT("Yes",MP5!H$15),1.1,1))</f>
        <v>141.3</v>
      </c>
    </row>
    <row r="15" spans="1:30" ht="12.75">
      <c r="A15" s="51">
        <f t="shared" si="7"/>
        <v>279.30000000000007</v>
      </c>
      <c r="B15" s="53" t="s">
        <v>215</v>
      </c>
      <c r="C15" s="52">
        <v>40</v>
      </c>
      <c r="D15" s="51">
        <v>28</v>
      </c>
      <c r="E15" s="51">
        <v>31</v>
      </c>
      <c r="F15" s="51">
        <v>103</v>
      </c>
      <c r="G15" s="51"/>
      <c r="H15" s="51">
        <v>8</v>
      </c>
      <c r="I15" s="51"/>
      <c r="J15" s="52"/>
      <c r="K15" s="51">
        <v>1</v>
      </c>
      <c r="L15" s="51"/>
      <c r="M15" s="51">
        <v>1</v>
      </c>
      <c r="N15" s="52"/>
      <c r="O15" s="51"/>
      <c r="P15" s="51"/>
      <c r="Q15" s="51">
        <v>2</v>
      </c>
      <c r="R15" s="47">
        <f t="shared" si="0"/>
        <v>1</v>
      </c>
      <c r="S15" s="51" t="str">
        <f t="shared" si="1"/>
        <v>Y</v>
      </c>
      <c r="T15" s="52">
        <f t="shared" si="2"/>
        <v>12</v>
      </c>
      <c r="U15" s="51">
        <f t="shared" si="3"/>
        <v>44</v>
      </c>
      <c r="V15" s="51">
        <f t="shared" si="4"/>
        <v>35.805</v>
      </c>
      <c r="W15" s="92">
        <f>(ROUNDDOWN((Y15-T15)*X!B$8,2))+T15</f>
        <v>27.09</v>
      </c>
      <c r="X15" s="89">
        <f>(ROUNDDOWN((Z15-T15)*X!B$8,2))+T15</f>
        <v>30.82</v>
      </c>
      <c r="Y15" s="92">
        <f>(5*((0.001+X!H$3*SQRT(MP5!D$6+U15)*(MP5!D$5+V15))-(0.001+X!H$3*SQRT(MP5!D$6)*(MP5!D$5))))+T15</f>
        <v>62.33052847428664</v>
      </c>
      <c r="Z15" s="89">
        <f>(5*((0.001+X!H$3*SQRT(MP5!E$6+(U15*IF(EXACT("Yes",MP5!H$15),1.1,1)))*(MP5!E$5+(V15*IF(EXACT("Yes",MP5!H$15),1.1,1))))-(0.001+X!H$3*SQRT(MP5!E$6)*(MP5!E$5))))+T15</f>
        <v>74.763042189044</v>
      </c>
      <c r="AA15" s="81">
        <f t="shared" si="5"/>
        <v>37.662158542285994</v>
      </c>
      <c r="AB15" s="89">
        <f t="shared" si="6"/>
        <v>44.0029126567132</v>
      </c>
      <c r="AC15" s="92">
        <f>F15+(J15*I$3)+(K15*I$4)+(L15*I$5)+(M15*I$6)+IF(EXACT("Y",S15),P15,0)+(IF(EXACT("Human",MP5!H$13),(((IF(EXACT("Y",S15),O15,0)+(J15*K$3)+(K15*K$4)+(L15*K$5)+(M15*K$6)+E15)*1.1)*IF(EXACT("Yes",MP5!H$8),1.05,1)*(0.05*C$5)),((IF(EXACT("Y",S15),O15,0)+(J15*K$3)+(K15*K$4)+(L15*K$5)+(M15*K$6)+E15)*IF(EXACT("Yes",MP5!H$8),1.05,1)*(0.05*C$5))))</f>
        <v>110.75</v>
      </c>
      <c r="AD15" s="89">
        <f>F15+(J15*I$3)+(K15*I$4)+(L15*I$5)+(M15*I$6)+IF(EXACT("Y",S15),P15,0)+((IF(EXACT("Human",MP5!H$13),(((IF(EXACT("Y",S15),O15,0)+(J15*K$3)+(K15*K$4)+(L15*K$5)+(M15*K$6)+E15)*1.1)*IF(EXACT("Yes",MP5!H$8),1.05,1)*(0.05*C$5)),((IF(EXACT("Y",S15),O15,0)+(J15*K$3)+(K15*K$4)+(L15*K$5)+(M15*K$6)+E15)*IF(EXACT("Yes",MP5!H$8),1.05,1)*(0.05*C$5))))*IF(EXACT("Yes",MP5!H$15),1.1,1))</f>
        <v>111.525</v>
      </c>
    </row>
    <row r="16" spans="1:30" ht="12.75">
      <c r="A16" s="51">
        <f t="shared" si="7"/>
        <v>242</v>
      </c>
      <c r="B16" s="53" t="s">
        <v>208</v>
      </c>
      <c r="C16" s="52">
        <v>36</v>
      </c>
      <c r="D16" s="51">
        <v>40</v>
      </c>
      <c r="E16" s="51"/>
      <c r="F16" s="48">
        <v>90</v>
      </c>
      <c r="G16" s="51"/>
      <c r="H16" s="51">
        <v>13</v>
      </c>
      <c r="I16" s="51"/>
      <c r="J16" s="52">
        <v>1</v>
      </c>
      <c r="K16" s="51">
        <v>1</v>
      </c>
      <c r="L16" s="51">
        <v>1</v>
      </c>
      <c r="M16" s="51"/>
      <c r="N16" s="52"/>
      <c r="O16" s="51"/>
      <c r="P16" s="51"/>
      <c r="Q16" s="51">
        <v>2</v>
      </c>
      <c r="R16" s="47">
        <f t="shared" si="0"/>
        <v>3</v>
      </c>
      <c r="S16" s="51" t="str">
        <f t="shared" si="1"/>
        <v>Y</v>
      </c>
      <c r="T16" s="52">
        <f t="shared" si="2"/>
        <v>17</v>
      </c>
      <c r="U16" s="51">
        <f t="shared" si="3"/>
        <v>45</v>
      </c>
      <c r="V16" s="51">
        <f t="shared" si="4"/>
        <v>11.55</v>
      </c>
      <c r="W16" s="92">
        <f>(ROUNDDOWN((Y16-T16)*X!B$8,2))+T16</f>
        <v>24.45</v>
      </c>
      <c r="X16" s="89">
        <f>(ROUNDDOWN((Z16-T16)*X!B$8,2))+T16</f>
        <v>26.689999999999998</v>
      </c>
      <c r="Y16" s="92">
        <f>(5*((0.001+X!H$3*SQRT(MP5!D$6+U16)*(MP5!D$5+V16))-(0.001+X!H$3*SQRT(MP5!D$6)*(MP5!D$5))))+T16</f>
        <v>41.846531239909204</v>
      </c>
      <c r="Z16" s="89">
        <f>(5*((0.001+X!H$3*SQRT(MP5!E$6+(U16*IF(EXACT("Yes",MP5!H$15),1.1,1)))*(MP5!E$5+(V16*IF(EXACT("Yes",MP5!H$15),1.1,1))))-(0.001+X!H$3*SQRT(MP5!E$6)*(MP5!E$5))))+T16</f>
        <v>49.305677695488484</v>
      </c>
      <c r="AA16" s="81">
        <f t="shared" si="5"/>
        <v>29.66895937197276</v>
      </c>
      <c r="AB16" s="89">
        <f t="shared" si="6"/>
        <v>33.474703308646546</v>
      </c>
      <c r="AC16" s="92">
        <f>F16+(J16*I$3)+(K16*I$4)+(L16*I$5)+(M16*I$6)+IF(EXACT("Y",S16),P16,0)+(IF(EXACT("Human",MP5!H$13),(((IF(EXACT("Y",S16),O16,0)+(J16*K$3)+(K16*K$4)+(L16*K$5)+(M16*K$6)+E16)*1.1)*IF(EXACT("Yes",MP5!H$8),1.05,1)*(0.05*C$5)),((IF(EXACT("Y",S16),O16,0)+(J16*K$3)+(K16*K$4)+(L16*K$5)+(M16*K$6)+E16)*IF(EXACT("Yes",MP5!H$8),1.05,1)*(0.05*C$5))))</f>
        <v>114.5</v>
      </c>
      <c r="AD16" s="89">
        <f>F16+(J16*I$3)+(K16*I$4)+(L16*I$5)+(M16*I$6)+IF(EXACT("Y",S16),P16,0)+((IF(EXACT("Human",MP5!H$13),(((IF(EXACT("Y",S16),O16,0)+(J16*K$3)+(K16*K$4)+(L16*K$5)+(M16*K$6)+E16)*1.1)*IF(EXACT("Yes",MP5!H$8),1.05,1)*(0.05*C$5)),((IF(EXACT("Y",S16),O16,0)+(J16*K$3)+(K16*K$4)+(L16*K$5)+(M16*K$6)+E16)*IF(EXACT("Yes",MP5!H$8),1.05,1)*(0.05*C$5))))*IF(EXACT("Yes",MP5!H$15),1.1,1))</f>
        <v>114.75</v>
      </c>
    </row>
    <row r="17" spans="1:30" ht="15.75" customHeight="1">
      <c r="A17" s="51">
        <f t="shared" si="7"/>
        <v>233.4</v>
      </c>
      <c r="B17" s="53" t="s">
        <v>210</v>
      </c>
      <c r="C17" s="52">
        <v>14</v>
      </c>
      <c r="D17" s="51">
        <v>38</v>
      </c>
      <c r="E17" s="51">
        <v>28</v>
      </c>
      <c r="F17" s="51">
        <v>101</v>
      </c>
      <c r="G17" s="51"/>
      <c r="H17" s="51"/>
      <c r="I17" s="51"/>
      <c r="J17" s="52">
        <v>1</v>
      </c>
      <c r="K17" s="51"/>
      <c r="L17" s="51"/>
      <c r="M17" s="51">
        <v>1</v>
      </c>
      <c r="N17" s="52"/>
      <c r="O17" s="51"/>
      <c r="P17" s="51">
        <v>9</v>
      </c>
      <c r="Q17" s="51"/>
      <c r="R17" s="47">
        <f t="shared" si="0"/>
        <v>1</v>
      </c>
      <c r="S17" s="51" t="str">
        <f t="shared" si="1"/>
        <v>Y</v>
      </c>
      <c r="T17" s="52">
        <f t="shared" si="2"/>
        <v>0</v>
      </c>
      <c r="U17" s="51">
        <f t="shared" si="3"/>
        <v>49</v>
      </c>
      <c r="V17" s="51">
        <f t="shared" si="4"/>
        <v>43.89000000000001</v>
      </c>
      <c r="W17" s="92">
        <f>(ROUNDDOWN((Y17-T17)*X!B$8,2))+T17</f>
        <v>18.15</v>
      </c>
      <c r="X17" s="89">
        <f>(ROUNDDOWN((Z17-T17)*X!B$8,2))+T17</f>
        <v>22.56</v>
      </c>
      <c r="Y17" s="92">
        <f>(5*((0.001+X!H$3*SQRT(MP5!D$6+U17)*(MP5!D$5+V17))-(0.001+X!H$3*SQRT(MP5!D$6)*(MP5!D$5))))+T17</f>
        <v>60.50738705830149</v>
      </c>
      <c r="Z17" s="89">
        <f>(5*((0.001+X!H$3*SQRT(MP5!E$6+(U17*IF(EXACT("Yes",MP5!H$15),1.1,1)))*(MP5!E$5+(V17*IF(EXACT("Yes",MP5!H$15),1.1,1))))-(0.001+X!H$3*SQRT(MP5!E$6)*(MP5!E$5))))+T17</f>
        <v>75.20968633075555</v>
      </c>
      <c r="AA17" s="81">
        <f t="shared" si="5"/>
        <v>30.857216117490445</v>
      </c>
      <c r="AB17" s="89">
        <f t="shared" si="6"/>
        <v>38.354905899226665</v>
      </c>
      <c r="AC17" s="92">
        <f>F17+(J17*I$3)+(K17*I$4)+(L17*I$5)+(M17*I$6)+IF(EXACT("Y",S17),P17,0)+(IF(EXACT("Human",MP5!H$13),(((IF(EXACT("Y",S17),O17,0)+(J17*K$3)+(K17*K$4)+(L17*K$5)+(M17*K$6)+E17)*1.1)*IF(EXACT("Yes",MP5!H$8),1.05,1)*(0.05*C$5)),((IF(EXACT("Y",S17),O17,0)+(J17*K$3)+(K17*K$4)+(L17*K$5)+(M17*K$6)+E17)*IF(EXACT("Yes",MP5!H$8),1.05,1)*(0.05*C$5))))</f>
        <v>119.5</v>
      </c>
      <c r="AD17" s="89">
        <f>F17+(J17*I$3)+(K17*I$4)+(L17*I$5)+(M17*I$6)+IF(EXACT("Y",S17),P17,0)+((IF(EXACT("Human",MP5!H$13),(((IF(EXACT("Y",S17),O17,0)+(J17*K$3)+(K17*K$4)+(L17*K$5)+(M17*K$6)+E17)*1.1)*IF(EXACT("Yes",MP5!H$8),1.05,1)*(0.05*C$5)),((IF(EXACT("Y",S17),O17,0)+(J17*K$3)+(K17*K$4)+(L17*K$5)+(M17*K$6)+E17)*IF(EXACT("Yes",MP5!H$8),1.05,1)*(0.05*C$5))))*IF(EXACT("Yes",MP5!H$15),1.1,1))</f>
        <v>120.45</v>
      </c>
    </row>
    <row r="18" spans="1:30" ht="12.75">
      <c r="A18" s="51">
        <f t="shared" si="7"/>
        <v>229.7</v>
      </c>
      <c r="B18" s="53" t="s">
        <v>206</v>
      </c>
      <c r="C18" s="52">
        <v>39</v>
      </c>
      <c r="D18" s="51">
        <v>38</v>
      </c>
      <c r="E18" s="51">
        <v>49</v>
      </c>
      <c r="F18" s="51">
        <v>108</v>
      </c>
      <c r="G18" s="51"/>
      <c r="H18" s="51"/>
      <c r="I18" s="51"/>
      <c r="J18" s="52"/>
      <c r="K18" s="51"/>
      <c r="L18" s="51"/>
      <c r="M18" s="51"/>
      <c r="N18" s="52"/>
      <c r="O18" s="51"/>
      <c r="P18" s="51"/>
      <c r="Q18" s="51"/>
      <c r="R18" s="47">
        <f t="shared" si="0"/>
        <v>0</v>
      </c>
      <c r="S18" s="51" t="str">
        <f t="shared" si="1"/>
        <v>N</v>
      </c>
      <c r="T18" s="52">
        <f t="shared" si="2"/>
        <v>0</v>
      </c>
      <c r="U18" s="51">
        <f t="shared" si="3"/>
        <v>38</v>
      </c>
      <c r="V18" s="51">
        <f t="shared" si="4"/>
        <v>56.595000000000006</v>
      </c>
      <c r="W18" s="92">
        <f>(ROUNDDOWN((Y18-T18)*X!B$8,2))+T18</f>
        <v>21.12</v>
      </c>
      <c r="X18" s="89">
        <f>(ROUNDDOWN((Z18-T18)*X!B$8,2))+T18</f>
        <v>25.95</v>
      </c>
      <c r="Y18" s="92">
        <f>(5*((0.001+X!H$3*SQRT(MP5!D$6+U18)*(MP5!D$5+V18))-(0.001+X!H$3*SQRT(MP5!D$6)*(MP5!D$5))))+T18</f>
        <v>70.4251892176179</v>
      </c>
      <c r="Z18" s="89">
        <f>(5*((0.001+X!H$3*SQRT(MP5!E$6+(U18*IF(EXACT("Yes",MP5!H$15),1.1,1)))*(MP5!E$5+(V18*IF(EXACT("Yes",MP5!H$15),1.1,1))))-(0.001+X!H$3*SQRT(MP5!E$6)*(MP5!E$5))))+T18</f>
        <v>86.51488956335321</v>
      </c>
      <c r="AA18" s="81">
        <f t="shared" si="5"/>
        <v>35.91155676528537</v>
      </c>
      <c r="AB18" s="89">
        <f t="shared" si="6"/>
        <v>44.11946686900596</v>
      </c>
      <c r="AC18" s="92">
        <f>F18+(J18*I$3)+(K18*I$4)+(L18*I$5)+(M18*I$6)+IF(EXACT("Y",S18),P18,0)+(IF(EXACT("Human",MP5!H$13),(((IF(EXACT("Y",S18),O18,0)+(J18*K$3)+(K18*K$4)+(L18*K$5)+(M18*K$6)+E18)*1.1)*IF(EXACT("Yes",MP5!H$8),1.05,1)*(0.05*C$5)),((IF(EXACT("Y",S18),O18,0)+(J18*K$3)+(K18*K$4)+(L18*K$5)+(M18*K$6)+E18)*IF(EXACT("Yes",MP5!H$8),1.05,1)*(0.05*C$5))))</f>
        <v>120.25</v>
      </c>
      <c r="AD18" s="89">
        <f>F18+(J18*I$3)+(K18*I$4)+(L18*I$5)+(M18*I$6)+IF(EXACT("Y",S18),P18,0)+((IF(EXACT("Human",MP5!H$13),(((IF(EXACT("Y",S18),O18,0)+(J18*K$3)+(K18*K$4)+(L18*K$5)+(M18*K$6)+E18)*1.1)*IF(EXACT("Yes",MP5!H$8),1.05,1)*(0.05*C$5)),((IF(EXACT("Y",S18),O18,0)+(J18*K$3)+(K18*K$4)+(L18*K$5)+(M18*K$6)+E18)*IF(EXACT("Yes",MP5!H$8),1.05,1)*(0.05*C$5))))*IF(EXACT("Yes",MP5!H$15),1.1,1))</f>
        <v>121.475</v>
      </c>
    </row>
    <row r="19" spans="1:30" ht="12.75">
      <c r="A19" s="51">
        <f t="shared" si="7"/>
        <v>157.5</v>
      </c>
      <c r="B19" s="53" t="s">
        <v>204</v>
      </c>
      <c r="C19" s="52">
        <v>15</v>
      </c>
      <c r="D19" s="51">
        <v>15</v>
      </c>
      <c r="E19" s="51"/>
      <c r="F19" s="51">
        <v>79</v>
      </c>
      <c r="G19" s="51"/>
      <c r="H19" s="51"/>
      <c r="I19" s="51"/>
      <c r="J19" s="52">
        <v>1</v>
      </c>
      <c r="K19" s="51">
        <v>1</v>
      </c>
      <c r="L19" s="51">
        <v>1</v>
      </c>
      <c r="M19" s="51"/>
      <c r="N19" s="52">
        <v>4</v>
      </c>
      <c r="O19" s="51"/>
      <c r="P19" s="51"/>
      <c r="Q19" s="51"/>
      <c r="R19" s="47">
        <f t="shared" si="0"/>
        <v>3</v>
      </c>
      <c r="S19" s="51" t="str">
        <f t="shared" si="1"/>
        <v>Y</v>
      </c>
      <c r="T19" s="52">
        <f t="shared" si="2"/>
        <v>2</v>
      </c>
      <c r="U19" s="51">
        <f t="shared" si="3"/>
        <v>24</v>
      </c>
      <c r="V19" s="51">
        <f t="shared" si="4"/>
        <v>11.55</v>
      </c>
      <c r="W19" s="92">
        <f>(ROUNDDOWN((Y19-T19)*X!B$8,2))+T19</f>
        <v>7.64</v>
      </c>
      <c r="X19" s="89">
        <f>(ROUNDDOWN((Z19-T19)*X!B$8,2))+T19</f>
        <v>9.17</v>
      </c>
      <c r="Y19" s="92">
        <f>(5*((0.001+X!H$3*SQRT(MP5!D$6+U19)*(MP5!D$5+V19))-(0.001+X!H$3*SQRT(MP5!D$6)*(MP5!D$5))))+T19</f>
        <v>20.803492080861837</v>
      </c>
      <c r="Z19" s="89">
        <f>(5*((0.001+X!H$3*SQRT(MP5!E$6+(U19*IF(EXACT("Yes",MP5!H$15),1.1,1)))*(MP5!E$5+(V19*IF(EXACT("Yes",MP5!H$15),1.1,1))))-(0.001+X!H$3*SQRT(MP5!E$6)*(MP5!E$5))))+T19</f>
        <v>25.905443951524248</v>
      </c>
      <c r="AA19" s="81">
        <f t="shared" si="5"/>
        <v>11.589047624258551</v>
      </c>
      <c r="AB19" s="89">
        <f t="shared" si="6"/>
        <v>14.190633185457274</v>
      </c>
      <c r="AC19" s="92">
        <f>F19+(J19*I$3)+(K19*I$4)+(L19*I$5)+(M19*I$6)+IF(EXACT("Y",S19),P19,0)+(IF(EXACT("Human",MP5!H$13),(((IF(EXACT("Y",S19),O19,0)+(J19*K$3)+(K19*K$4)+(L19*K$5)+(M19*K$6)+E19)*1.1)*IF(EXACT("Yes",MP5!H$8),1.05,1)*(0.05*C$5)),((IF(EXACT("Y",S19),O19,0)+(J19*K$3)+(K19*K$4)+(L19*K$5)+(M19*K$6)+E19)*IF(EXACT("Yes",MP5!H$8),1.05,1)*(0.05*C$5))))</f>
        <v>103.5</v>
      </c>
      <c r="AD19" s="89">
        <f>F19+(J19*I$3)+(K19*I$4)+(L19*I$5)+(M19*I$6)+IF(EXACT("Y",S19),P19,0)+((IF(EXACT("Human",MP5!H$13),(((IF(EXACT("Y",S19),O19,0)+(J19*K$3)+(K19*K$4)+(L19*K$5)+(M19*K$6)+E19)*1.1)*IF(EXACT("Yes",MP5!H$8),1.05,1)*(0.05*C$5)),((IF(EXACT("Y",S19),O19,0)+(J19*K$3)+(K19*K$4)+(L19*K$5)+(M19*K$6)+E19)*IF(EXACT("Yes",MP5!H$8),1.05,1)*(0.05*C$5))))*IF(EXACT("Yes",MP5!H$15),1.1,1))</f>
        <v>103.75</v>
      </c>
    </row>
    <row r="20" spans="1:30" ht="12.75">
      <c r="A20" s="51">
        <f t="shared" si="7"/>
        <v>0</v>
      </c>
      <c r="B20" s="50"/>
      <c r="C20" s="49"/>
      <c r="D20" s="48"/>
      <c r="E20" s="48"/>
      <c r="F20" s="48"/>
      <c r="G20" s="48"/>
      <c r="H20" s="48"/>
      <c r="I20" s="48"/>
      <c r="J20" s="49"/>
      <c r="K20" s="48"/>
      <c r="L20" s="48"/>
      <c r="M20" s="48"/>
      <c r="N20" s="49"/>
      <c r="O20" s="48"/>
      <c r="P20" s="48"/>
      <c r="Q20" s="48"/>
      <c r="R20" s="47">
        <f t="shared" si="0"/>
        <v>0</v>
      </c>
      <c r="S20" s="51" t="str">
        <f t="shared" si="1"/>
        <v>N</v>
      </c>
      <c r="T20" s="52">
        <f t="shared" si="2"/>
        <v>0</v>
      </c>
      <c r="U20" s="51">
        <f t="shared" si="3"/>
        <v>0</v>
      </c>
      <c r="V20" s="51">
        <f t="shared" si="4"/>
        <v>0</v>
      </c>
      <c r="W20" s="92">
        <f>(ROUNDDOWN((Y20-T20)*X!B$8,2))+T20</f>
        <v>0</v>
      </c>
      <c r="X20" s="89">
        <f>(ROUNDDOWN((Z20-T20)*X!B$8,2))+T20</f>
        <v>0</v>
      </c>
      <c r="Y20" s="92">
        <f>(5*((0.001+X!H$3*SQRT(MP5!D$6+U20)*(MP5!D$5+V20))-(0.001+X!H$3*SQRT(MP5!D$6)*(MP5!D$5))))+T20</f>
        <v>0</v>
      </c>
      <c r="Z20" s="89">
        <f>(5*((0.001+X!H$3*SQRT(MP5!E$6+(U20*IF(EXACT("Yes",MP5!H$15),1.1,1)))*(MP5!E$5+(V20*IF(EXACT("Yes",MP5!H$15),1.1,1))))-(0.001+X!H$3*SQRT(MP5!E$6)*(MP5!E$5))))+T20</f>
        <v>0</v>
      </c>
      <c r="AA20" s="81">
        <f t="shared" si="5"/>
        <v>0</v>
      </c>
      <c r="AB20" s="89">
        <f t="shared" si="6"/>
        <v>0</v>
      </c>
      <c r="AC20" s="92">
        <f>F20+(J20*I$3)+(K20*I$4)+(L20*I$5)+(M20*I$6)+IF(EXACT("Y",S20),P20,0)+(IF(EXACT("Human",MP5!H$13),(((IF(EXACT("Y",S20),O20,0)+(J20*K$3)+(K20*K$4)+(L20*K$5)+(M20*K$6)+E20)*1.1)*IF(EXACT("Yes",MP5!H$8),1.05,1)*(0.05*C$5)),((IF(EXACT("Y",S20),O20,0)+(J20*K$3)+(K20*K$4)+(L20*K$5)+(M20*K$6)+E20)*IF(EXACT("Yes",MP5!H$8),1.05,1)*(0.05*C$5))))</f>
        <v>0</v>
      </c>
      <c r="AD20" s="89">
        <f>F20+(J20*I$3)+(K20*I$4)+(L20*I$5)+(M20*I$6)+IF(EXACT("Y",S20),P20,0)+((IF(EXACT("Human",MP5!H$13),(((IF(EXACT("Y",S20),O20,0)+(J20*K$3)+(K20*K$4)+(L20*K$5)+(M20*K$6)+E20)*1.1)*IF(EXACT("Yes",MP5!H$8),1.05,1)*(0.05*C$5)),((IF(EXACT("Y",S20),O20,0)+(J20*K$3)+(K20*K$4)+(L20*K$5)+(M20*K$6)+E20)*IF(EXACT("Yes",MP5!H$8),1.05,1)*(0.05*C$5))))*IF(EXACT("Yes",MP5!H$15),1.1,1))</f>
        <v>0</v>
      </c>
    </row>
    <row r="21" spans="1:30" ht="12.75">
      <c r="A21" s="51">
        <f t="shared" si="7"/>
        <v>0</v>
      </c>
      <c r="B21" s="50"/>
      <c r="C21" s="49"/>
      <c r="D21" s="48"/>
      <c r="E21" s="48"/>
      <c r="F21" s="48"/>
      <c r="G21" s="48"/>
      <c r="H21" s="48"/>
      <c r="I21" s="48"/>
      <c r="J21" s="49"/>
      <c r="K21" s="48"/>
      <c r="L21" s="48"/>
      <c r="M21" s="48"/>
      <c r="N21" s="49"/>
      <c r="O21" s="48"/>
      <c r="P21" s="48"/>
      <c r="Q21" s="48"/>
      <c r="R21" s="47">
        <f t="shared" si="0"/>
        <v>0</v>
      </c>
      <c r="S21" s="51" t="str">
        <f t="shared" si="1"/>
        <v>N</v>
      </c>
      <c r="T21" s="52">
        <v>0</v>
      </c>
      <c r="U21" s="51">
        <f t="shared" si="3"/>
        <v>0</v>
      </c>
      <c r="V21" s="51">
        <f t="shared" si="4"/>
        <v>0</v>
      </c>
      <c r="W21" s="92">
        <f>(ROUNDDOWN((Y21-T21)*X!B$8,2))+T21</f>
        <v>0</v>
      </c>
      <c r="X21" s="89">
        <f>(ROUNDDOWN((Z21-T21)*X!B$8,2))+T21</f>
        <v>0</v>
      </c>
      <c r="Y21" s="92">
        <f>(5*((0.001+X!H$3*SQRT(MP5!D$6+U21)*(MP5!D$5+V21))-(0.001+X!H$3*SQRT(MP5!D$6)*(MP5!D$5))))+T21</f>
        <v>0</v>
      </c>
      <c r="Z21" s="89">
        <f>(5*((0.001+X!H$3*SQRT(MP5!E$6+(U21*IF(EXACT("Yes",MP5!H$15),1.1,1)))*(MP5!E$5+(V21*IF(EXACT("Yes",MP5!H$15),1.1,1))))-(0.001+X!H$3*SQRT(MP5!E$6)*(MP5!E$5))))+T21</f>
        <v>0</v>
      </c>
      <c r="AA21" s="81">
        <f t="shared" si="5"/>
        <v>0</v>
      </c>
      <c r="AB21" s="89">
        <f t="shared" si="6"/>
        <v>0</v>
      </c>
      <c r="AC21" s="92">
        <f>F21+(J21*I$3)+(K21*I$4)+(L21*I$5)+(M21*I$6)+IF(EXACT("Y",S21),P21,0)+(IF(EXACT("Human",MP5!H$13),(((IF(EXACT("Y",S21),O21,0)+(J21*K$3)+(K21*K$4)+(L21*K$5)+(M21*K$6)+E21)*1.1)*IF(EXACT("Yes",MP5!H$8),1.05,1)*(0.05*C$5)),((IF(EXACT("Y",S21),O21,0)+(J21*K$3)+(K21*K$4)+(L21*K$5)+(M21*K$6)+E21)*IF(EXACT("Yes",MP5!H$8),1.05,1)*(0.05*C$5))))</f>
        <v>0</v>
      </c>
      <c r="AD21" s="89">
        <f>F21+(J21*I$3)+(K21*I$4)+(L21*I$5)+(M21*I$6)+IF(EXACT("Y",S21),P21,0)+((IF(EXACT("Human",MP5!H$13),(((IF(EXACT("Y",S21),O21,0)+(J21*K$3)+(K21*K$4)+(L21*K$5)+(M21*K$6)+E21)*1.1)*IF(EXACT("Yes",MP5!H$8),1.05,1)*(0.05*C$5)),((IF(EXACT("Y",S21),O21,0)+(J21*K$3)+(K21*K$4)+(L21*K$5)+(M21*K$6)+E21)*IF(EXACT("Yes",MP5!H$8),1.05,1)*(0.05*C$5))))*IF(EXACT("Yes",MP5!H$15),1.1,1))</f>
        <v>0</v>
      </c>
    </row>
    <row r="22" spans="1:30" ht="12.75">
      <c r="A22" s="59" t="s">
        <v>77</v>
      </c>
      <c r="B22" s="63" t="s">
        <v>203</v>
      </c>
      <c r="C22" s="62" t="s">
        <v>75</v>
      </c>
      <c r="D22" s="60" t="s">
        <v>68</v>
      </c>
      <c r="E22" s="60" t="s">
        <v>67</v>
      </c>
      <c r="F22" s="60" t="s">
        <v>66</v>
      </c>
      <c r="G22" s="60" t="s">
        <v>74</v>
      </c>
      <c r="H22" s="60" t="s">
        <v>65</v>
      </c>
      <c r="I22" s="60" t="s">
        <v>73</v>
      </c>
      <c r="J22" s="61" t="s">
        <v>72</v>
      </c>
      <c r="K22" s="59" t="s">
        <v>71</v>
      </c>
      <c r="L22" s="59" t="s">
        <v>70</v>
      </c>
      <c r="M22" s="59" t="s">
        <v>69</v>
      </c>
      <c r="N22" s="61" t="s">
        <v>68</v>
      </c>
      <c r="O22" s="59" t="s">
        <v>67</v>
      </c>
      <c r="P22" s="60" t="s">
        <v>66</v>
      </c>
      <c r="Q22" s="59" t="s">
        <v>65</v>
      </c>
      <c r="R22" s="47">
        <f t="shared" si="0"/>
        <v>3</v>
      </c>
      <c r="S22" s="59" t="s">
        <v>64</v>
      </c>
      <c r="T22" s="61" t="s">
        <v>65</v>
      </c>
      <c r="U22" s="59" t="s">
        <v>68</v>
      </c>
      <c r="V22" s="59" t="s">
        <v>67</v>
      </c>
      <c r="W22" s="90" t="s">
        <v>1</v>
      </c>
      <c r="X22" s="91" t="s">
        <v>2</v>
      </c>
      <c r="Y22" s="90" t="s">
        <v>1</v>
      </c>
      <c r="Z22" s="91" t="s">
        <v>2</v>
      </c>
      <c r="AA22" s="59" t="s">
        <v>1</v>
      </c>
      <c r="AB22" s="59" t="s">
        <v>2</v>
      </c>
      <c r="AC22" s="90" t="s">
        <v>1</v>
      </c>
      <c r="AD22" s="91" t="s">
        <v>2</v>
      </c>
    </row>
    <row r="23" spans="1:30" ht="12.75">
      <c r="A23" s="51">
        <f>C23*W$6+D23*Z$3+E23*Y$3+F23*X$3+H23*W$3+J23*X$6+K23*Z$6+L23*Y$6+G23*W$9+I23*AH54+M23*Z$9+(IF(S23="Y",((P23*X$3)+(Q23*W$3)+(O23*Y$3)+(N23*Z$3)),0))</f>
        <v>242</v>
      </c>
      <c r="B23" s="50" t="s">
        <v>202</v>
      </c>
      <c r="C23" s="49">
        <v>33</v>
      </c>
      <c r="D23" s="48">
        <v>26</v>
      </c>
      <c r="E23" s="48"/>
      <c r="F23" s="48">
        <v>99</v>
      </c>
      <c r="G23" s="48">
        <v>33</v>
      </c>
      <c r="H23" s="48">
        <v>9</v>
      </c>
      <c r="I23" s="48"/>
      <c r="J23" s="49">
        <v>1</v>
      </c>
      <c r="K23" s="48"/>
      <c r="L23" s="48">
        <v>1</v>
      </c>
      <c r="M23" s="48"/>
      <c r="N23" s="49"/>
      <c r="O23" s="48"/>
      <c r="P23" s="48"/>
      <c r="Q23" s="48">
        <v>1</v>
      </c>
      <c r="R23" s="47">
        <f t="shared" si="0"/>
        <v>2</v>
      </c>
      <c r="S23" s="51" t="str">
        <f aca="true" t="shared" si="8" ref="S23:S30">IF(R23&gt;0,"Y","N")</f>
        <v>Y</v>
      </c>
      <c r="T23" s="52">
        <f aca="true" t="shared" si="9" ref="T23:T30">H23+(J23*H$3)+(K23*H$4)+(L23*H$5)+(M23*H$6)+IF(EXACT("Y",S23),Q23,0)</f>
        <v>10</v>
      </c>
      <c r="U23" s="51">
        <f aca="true" t="shared" si="10" ref="U23:U30">(D23+(J23*J$3)+(K23*J$4)+(L23*J$5)+(M23*J$6)+IF(EXACT("Y",S23),N23,0))*(1+C$6)</f>
        <v>26</v>
      </c>
      <c r="V23" s="51">
        <f aca="true" t="shared" si="11" ref="V23:V30">((((E23+(J23*K$3)+(K23*K$4)+(L23*K$5)+(M23*K$6)+IF(EXACT("Y",S23),O23,0))*IF(EXACT("Yes",C$3),1.1,1))*IF(EXACT("Yes",C$4),1.05,1)))*(1+C$6)</f>
        <v>11.55</v>
      </c>
      <c r="W23" s="92">
        <f>(ROUNDDOWN((Y23-T23)*X!B$8,2))+T23</f>
        <v>15.809999999999999</v>
      </c>
      <c r="X23" s="89">
        <f>(ROUNDDOWN((Z23-T23)*X!B$8,2))+T23</f>
        <v>17.41</v>
      </c>
      <c r="Y23" s="92">
        <f>(5*((0.001+X!H$3*SQRT(MP5!D$6+U23)*(MP5!D$5+V23))-(0.001+X!H$3*SQRT(MP5!D$6)*(MP5!D$5))))+T23</f>
        <v>29.384430848189744</v>
      </c>
      <c r="Z23" s="89">
        <f>(5*((0.001+X!H$3*SQRT(MP5!E$6+(U23*IF(EXACT("Yes",MP5!H$15),1.1,1)))*(MP5!E$5+(V23*IF(EXACT("Yes",MP5!H$15),1.1,1))))-(0.001+X!H$3*SQRT(MP5!E$6)*(MP5!E$5))))+T23</f>
        <v>34.71243627250274</v>
      </c>
      <c r="AA23" s="81">
        <f aca="true" t="shared" si="12" ref="AA23:AA30">((Y23-W23)*(1-C$7))+W23</f>
        <v>19.882329254456923</v>
      </c>
      <c r="AB23" s="89">
        <f aca="true" t="shared" si="13" ref="AB23:AB30">((Z23-X23)*(1-C$7))+X23</f>
        <v>22.600730881750824</v>
      </c>
      <c r="AC23" s="92">
        <f>F23+(J23*I$3)+(K23*I$4)+(L23*I$5)+(M23*I$6)+IF(EXACT("Y",S23),P23,0)+(IF(EXACT("Human",MP5!H$13),(((IF(EXACT("Y",S23),O23,0)+(J23*K$3)+(K23*K$4)+(L23*K$5)+(M23*K$6)+E23)*1.1)*IF(EXACT("Yes",MP5!H$8),1.05,1)*(0.05*C$5)),((IF(EXACT("Y",S23),O23,0)+(J23*K$3)+(K23*K$4)+(L23*K$5)+(M23*K$6)+E23)*IF(EXACT("Yes",MP5!H$8),1.05,1)*(0.05*C$5))))</f>
        <v>123.5</v>
      </c>
      <c r="AD23" s="89">
        <f>F23+(J23*I$3)+(K23*I$4)+(L23*I$5)+(M23*I$6)+IF(EXACT("Y",S23),P23,0)+((IF(EXACT("Human",MP5!H$13),(((IF(EXACT("Y",S23),O23,0)+(J23*K$3)+(K23*K$4)+(L23*K$5)+(M23*K$6)+E23)*1.1)*IF(EXACT("Yes",MP5!H$8),1.05,1)*(0.05*C$5)),((IF(EXACT("Y",S23),O23,0)+(J23*K$3)+(K23*K$4)+(L23*K$5)+(M23*K$6)+E23)*IF(EXACT("Yes",MP5!H$8),1.05,1)*(0.05*C$5))))*IF(EXACT("Yes",MP5!H$15),1.1,1))</f>
        <v>123.75</v>
      </c>
    </row>
    <row r="24" spans="1:30" ht="12.75">
      <c r="A24" s="51">
        <f>C24*W$6+D24*Z$3+E24*Y$3+F24*X$3+H24*W$3+J24*X$6+K24*Z$6+L24*Y$6+G24*W$9+I24*AH55+M24*Z$9+(IF(S24="Y",((P24*X$3)+(Q24*W$3)+(O24*Y$3)+(N24*Z$3)),0))</f>
        <v>221.1</v>
      </c>
      <c r="B24" s="53" t="s">
        <v>201</v>
      </c>
      <c r="C24" s="52">
        <v>30</v>
      </c>
      <c r="D24" s="51">
        <v>30</v>
      </c>
      <c r="E24" s="51">
        <v>19</v>
      </c>
      <c r="F24" s="51">
        <v>86</v>
      </c>
      <c r="G24" s="51"/>
      <c r="H24" s="51">
        <v>8</v>
      </c>
      <c r="I24" s="51"/>
      <c r="J24" s="52">
        <v>2</v>
      </c>
      <c r="K24" s="51"/>
      <c r="L24" s="51"/>
      <c r="M24" s="51"/>
      <c r="N24" s="52"/>
      <c r="O24" s="51"/>
      <c r="P24" s="51">
        <v>7</v>
      </c>
      <c r="Q24" s="51"/>
      <c r="R24" s="47">
        <f t="shared" si="0"/>
        <v>1</v>
      </c>
      <c r="S24" s="51" t="str">
        <f t="shared" si="8"/>
        <v>Y</v>
      </c>
      <c r="T24" s="52">
        <f t="shared" si="9"/>
        <v>8</v>
      </c>
      <c r="U24" s="51">
        <f t="shared" si="10"/>
        <v>30</v>
      </c>
      <c r="V24" s="51">
        <f t="shared" si="11"/>
        <v>45.04500000000001</v>
      </c>
      <c r="W24" s="92">
        <f>(ROUNDDOWN((Y24-T24)*X!B$8,2))+T24</f>
        <v>24.69</v>
      </c>
      <c r="X24" s="89">
        <f>(ROUNDDOWN((Z24-T24)*X!B$8,2))+T24</f>
        <v>28.51</v>
      </c>
      <c r="Y24" s="92">
        <f>(5*((0.001+X!H$3*SQRT(MP5!D$6+U24)*(MP5!D$5+V24))-(0.001+X!H$3*SQRT(MP5!D$6)*(MP5!D$5))))+T24</f>
        <v>63.64530808183598</v>
      </c>
      <c r="Z24" s="89">
        <f>(5*((0.001+X!H$3*SQRT(MP5!E$6+(U24*IF(EXACT("Yes",MP5!H$15),1.1,1)))*(MP5!E$5+(V24*IF(EXACT("Yes",MP5!H$15),1.1,1))))-(0.001+X!H$3*SQRT(MP5!E$6)*(MP5!E$5))))+T24</f>
        <v>76.392610204262</v>
      </c>
      <c r="AA24" s="81">
        <f t="shared" si="12"/>
        <v>36.37659242455079</v>
      </c>
      <c r="AB24" s="89">
        <f t="shared" si="13"/>
        <v>42.874783061278606</v>
      </c>
      <c r="AC24" s="92">
        <f>F24+(J24*I$3)+(K24*I$4)+(L24*I$5)+(M24*I$6)+IF(EXACT("Y",S24),P24,0)+(IF(EXACT("Human",MP5!H$13),(((IF(EXACT("Y",S24),O24,0)+(J24*K$3)+(K24*K$4)+(L24*K$5)+(M24*K$6)+E24)*1.1)*IF(EXACT("Yes",MP5!H$8),1.05,1)*(0.05*C$5)),((IF(EXACT("Y",S24),O24,0)+(J24*K$3)+(K24*K$4)+(L24*K$5)+(M24*K$6)+E24)*IF(EXACT("Yes",MP5!H$8),1.05,1)*(0.05*C$5))))</f>
        <v>102.75</v>
      </c>
      <c r="AD24" s="89">
        <f>F24+(J24*I$3)+(K24*I$4)+(L24*I$5)+(M24*I$6)+IF(EXACT("Y",S24),P24,0)+((IF(EXACT("Human",MP5!H$13),(((IF(EXACT("Y",S24),O24,0)+(J24*K$3)+(K24*K$4)+(L24*K$5)+(M24*K$6)+E24)*1.1)*IF(EXACT("Yes",MP5!H$8),1.05,1)*(0.05*C$5)),((IF(EXACT("Y",S24),O24,0)+(J24*K$3)+(K24*K$4)+(L24*K$5)+(M24*K$6)+E24)*IF(EXACT("Yes",MP5!H$8),1.05,1)*(0.05*C$5))))*IF(EXACT("Yes",MP5!H$15),1.1,1))</f>
        <v>103.725</v>
      </c>
    </row>
    <row r="25" spans="1:30" ht="12.75">
      <c r="A25" s="51">
        <f aca="true" t="shared" si="14" ref="A25:A30">C25*W$6+D25*Z$3+E25*Y$3+F25*X$3+H25*W$3+J25*X$6+K25*Z$6+L25*Y$6+G25*W$9+I25*AH44+M25*Z$9+(IF(S25="Y",((P25*X$3)+(Q25*W$3)+(O25*Y$3)+(N25*Z$3)),0))</f>
        <v>185</v>
      </c>
      <c r="B25" s="53" t="s">
        <v>200</v>
      </c>
      <c r="C25" s="52">
        <v>26</v>
      </c>
      <c r="D25" s="51">
        <v>26</v>
      </c>
      <c r="E25" s="51">
        <v>20</v>
      </c>
      <c r="F25" s="51">
        <v>77</v>
      </c>
      <c r="G25" s="51"/>
      <c r="H25" s="51"/>
      <c r="I25" s="51"/>
      <c r="J25" s="52">
        <v>2</v>
      </c>
      <c r="K25" s="51"/>
      <c r="L25" s="51"/>
      <c r="M25" s="51"/>
      <c r="N25" s="52"/>
      <c r="O25" s="51"/>
      <c r="P25" s="51">
        <v>7</v>
      </c>
      <c r="Q25" s="51"/>
      <c r="R25" s="47">
        <f t="shared" si="0"/>
        <v>1</v>
      </c>
      <c r="S25" s="51" t="str">
        <f t="shared" si="8"/>
        <v>Y</v>
      </c>
      <c r="T25" s="52">
        <f t="shared" si="9"/>
        <v>0</v>
      </c>
      <c r="U25" s="51">
        <f t="shared" si="10"/>
        <v>26</v>
      </c>
      <c r="V25" s="51">
        <f t="shared" si="11"/>
        <v>46.2</v>
      </c>
      <c r="W25" s="92">
        <f>(ROUNDDOWN((Y25-T25)*X!B$8,2))+T25</f>
        <v>16.66</v>
      </c>
      <c r="X25" s="89">
        <f>(ROUNDDOWN((Z25-T25)*X!B$8,2))+T25</f>
        <v>20.42</v>
      </c>
      <c r="Y25" s="92">
        <f>(5*((0.001+X!H$3*SQRT(MP5!D$6+U25)*(MP5!D$5+V25))-(0.001+X!H$3*SQRT(MP5!D$6)*(MP5!D$5))))+T25</f>
        <v>55.55322942412033</v>
      </c>
      <c r="Z25" s="89">
        <f>(5*((0.001+X!H$3*SQRT(MP5!E$6+(U25*IF(EXACT("Yes",MP5!H$15),1.1,1)))*(MP5!E$5+(V25*IF(EXACT("Yes",MP5!H$15),1.1,1))))-(0.001+X!H$3*SQRT(MP5!E$6)*(MP5!E$5))))+T25</f>
        <v>68.07379479861403</v>
      </c>
      <c r="AA25" s="81">
        <f t="shared" si="12"/>
        <v>28.327968827236102</v>
      </c>
      <c r="AB25" s="89">
        <f t="shared" si="13"/>
        <v>34.71613843958421</v>
      </c>
      <c r="AC25" s="92">
        <f>F25+(J25*I$3)+(K25*I$4)+(L25*I$5)+(M25*I$6)+IF(EXACT("Y",S25),P25,0)+(IF(EXACT("Human",MP5!H$13),(((IF(EXACT("Y",S25),O25,0)+(J25*K$3)+(K25*K$4)+(L25*K$5)+(M25*K$6)+E25)*1.1)*IF(EXACT("Yes",MP5!H$8),1.05,1)*(0.05*C$5)),((IF(EXACT("Y",S25),O25,0)+(J25*K$3)+(K25*K$4)+(L25*K$5)+(M25*K$6)+E25)*IF(EXACT("Yes",MP5!H$8),1.05,1)*(0.05*C$5))))</f>
        <v>94</v>
      </c>
      <c r="AD25" s="89">
        <f>F25+(J25*I$3)+(K25*I$4)+(L25*I$5)+(M25*I$6)+IF(EXACT("Y",S25),P25,0)+((IF(EXACT("Human",MP5!H$13),(((IF(EXACT("Y",S25),O25,0)+(J25*K$3)+(K25*K$4)+(L25*K$5)+(M25*K$6)+E25)*1.1)*IF(EXACT("Yes",MP5!H$8),1.05,1)*(0.05*C$5)),((IF(EXACT("Y",S25),O25,0)+(J25*K$3)+(K25*K$4)+(L25*K$5)+(M25*K$6)+E25)*IF(EXACT("Yes",MP5!H$8),1.05,1)*(0.05*C$5))))*IF(EXACT("Yes",MP5!H$15),1.1,1))</f>
        <v>95</v>
      </c>
    </row>
    <row r="26" spans="1:36" ht="12.75">
      <c r="A26" s="51">
        <f t="shared" si="14"/>
        <v>183.6</v>
      </c>
      <c r="B26" s="53" t="s">
        <v>199</v>
      </c>
      <c r="C26" s="52">
        <v>38</v>
      </c>
      <c r="D26" s="51">
        <v>27</v>
      </c>
      <c r="E26" s="51">
        <v>37</v>
      </c>
      <c r="F26" s="51">
        <v>84</v>
      </c>
      <c r="G26" s="51"/>
      <c r="H26" s="51"/>
      <c r="I26" s="51"/>
      <c r="J26" s="52"/>
      <c r="K26" s="51"/>
      <c r="L26" s="51"/>
      <c r="M26" s="51"/>
      <c r="N26" s="52"/>
      <c r="O26" s="51"/>
      <c r="P26" s="51"/>
      <c r="Q26" s="51"/>
      <c r="R26" s="47">
        <f t="shared" si="0"/>
        <v>0</v>
      </c>
      <c r="S26" s="51" t="str">
        <f t="shared" si="8"/>
        <v>N</v>
      </c>
      <c r="T26" s="52">
        <f t="shared" si="9"/>
        <v>0</v>
      </c>
      <c r="U26" s="51">
        <f t="shared" si="10"/>
        <v>27</v>
      </c>
      <c r="V26" s="51">
        <f t="shared" si="11"/>
        <v>42.73500000000001</v>
      </c>
      <c r="W26" s="92">
        <f>(ROUNDDOWN((Y26-T26)*X!B$8,2))+T26</f>
        <v>15.67</v>
      </c>
      <c r="X26" s="89">
        <f>(ROUNDDOWN((Z26-T26)*X!B$8,2))+T26</f>
        <v>19.25</v>
      </c>
      <c r="Y26" s="92">
        <f>(5*((0.001+X!H$3*SQRT(MP5!D$6+U26)*(MP5!D$5+V26))-(0.001+X!H$3*SQRT(MP5!D$6)*(MP5!D$5))))+T26</f>
        <v>52.25885486496267</v>
      </c>
      <c r="Z26" s="89">
        <f>(5*((0.001+X!H$3*SQRT(MP5!E$6+(U26*IF(EXACT("Yes",MP5!H$15),1.1,1)))*(MP5!E$5+(V26*IF(EXACT("Yes",MP5!H$15),1.1,1))))-(0.001+X!H$3*SQRT(MP5!E$6)*(MP5!E$5))))+T26</f>
        <v>64.1766467519065</v>
      </c>
      <c r="AA26" s="81">
        <f t="shared" si="12"/>
        <v>26.646656459488803</v>
      </c>
      <c r="AB26" s="89">
        <f t="shared" si="13"/>
        <v>32.72799402557195</v>
      </c>
      <c r="AC26" s="92">
        <f>F26+(J26*I$3)+(K26*I$4)+(L26*I$5)+(M26*I$6)+IF(EXACT("Y",S26),P26,0)+(IF(EXACT("Human",MP5!H$13),(((IF(EXACT("Y",S26),O26,0)+(J26*K$3)+(K26*K$4)+(L26*K$5)+(M26*K$6)+E26)*1.1)*IF(EXACT("Yes",MP5!H$8),1.05,1)*(0.05*C$5)),((IF(EXACT("Y",S26),O26,0)+(J26*K$3)+(K26*K$4)+(L26*K$5)+(M26*K$6)+E26)*IF(EXACT("Yes",MP5!H$8),1.05,1)*(0.05*C$5))))</f>
        <v>93.25</v>
      </c>
      <c r="AD26" s="89">
        <f>F26+(J26*I$3)+(K26*I$4)+(L26*I$5)+(M26*I$6)+IF(EXACT("Y",S26),P26,0)+((IF(EXACT("Human",MP5!H$13),(((IF(EXACT("Y",S26),O26,0)+(J26*K$3)+(K26*K$4)+(L26*K$5)+(M26*K$6)+E26)*1.1)*IF(EXACT("Yes",MP5!H$8),1.05,1)*(0.05*C$5)),((IF(EXACT("Y",S26),O26,0)+(J26*K$3)+(K26*K$4)+(L26*K$5)+(M26*K$6)+E26)*IF(EXACT("Yes",MP5!H$8),1.05,1)*(0.05*C$5))))*IF(EXACT("Yes",MP5!H$15),1.1,1))</f>
        <v>94.175</v>
      </c>
      <c r="AE26" s="92"/>
      <c r="AF26" s="81"/>
      <c r="AG26" s="81"/>
      <c r="AH26" s="81"/>
      <c r="AI26" s="81"/>
      <c r="AJ26" s="81"/>
    </row>
    <row r="27" spans="1:36" ht="12.75">
      <c r="A27" s="51">
        <f t="shared" si="14"/>
        <v>139.1</v>
      </c>
      <c r="B27" s="53" t="s">
        <v>196</v>
      </c>
      <c r="C27" s="52"/>
      <c r="D27" s="51">
        <v>16</v>
      </c>
      <c r="E27" s="51">
        <v>15</v>
      </c>
      <c r="F27" s="51">
        <v>92</v>
      </c>
      <c r="G27" s="51"/>
      <c r="H27" s="51">
        <v>7</v>
      </c>
      <c r="I27" s="51"/>
      <c r="J27" s="52"/>
      <c r="K27" s="51"/>
      <c r="L27" s="51"/>
      <c r="M27" s="51"/>
      <c r="N27" s="52"/>
      <c r="O27" s="51"/>
      <c r="P27" s="51"/>
      <c r="Q27" s="51"/>
      <c r="R27" s="47">
        <f t="shared" si="0"/>
        <v>0</v>
      </c>
      <c r="S27" s="51" t="str">
        <f t="shared" si="8"/>
        <v>N</v>
      </c>
      <c r="T27" s="52">
        <f t="shared" si="9"/>
        <v>7</v>
      </c>
      <c r="U27" s="51">
        <f t="shared" si="10"/>
        <v>16</v>
      </c>
      <c r="V27" s="51">
        <f t="shared" si="11"/>
        <v>17.325</v>
      </c>
      <c r="W27" s="92">
        <f>(ROUNDDOWN((Y27-T27)*X!B$8,2))+T27</f>
        <v>13.73</v>
      </c>
      <c r="X27" s="89">
        <f>(ROUNDDOWN((Z27-T27)*X!B$8,2))+T27</f>
        <v>15.34</v>
      </c>
      <c r="Y27" s="92">
        <f>(5*((0.001+X!H$3*SQRT(MP5!D$6+U27)*(MP5!D$5+V27))-(0.001+X!H$3*SQRT(MP5!D$6)*(MP5!D$5))))+T27</f>
        <v>29.435681315402896</v>
      </c>
      <c r="Z27" s="89">
        <f>(5*((0.001+X!H$3*SQRT(MP5!E$6+(U27*IF(EXACT("Yes",MP5!H$15),1.1,1)))*(MP5!E$5+(V27*IF(EXACT("Yes",MP5!H$15),1.1,1))))-(0.001+X!H$3*SQRT(MP5!E$6)*(MP5!E$5))))+T27</f>
        <v>34.82219407044096</v>
      </c>
      <c r="AA27" s="81">
        <f t="shared" si="12"/>
        <v>18.44170439462087</v>
      </c>
      <c r="AB27" s="89">
        <f t="shared" si="13"/>
        <v>21.18465822113229</v>
      </c>
      <c r="AC27" s="92">
        <f>F27+(J27*I$3)+(K27*I$4)+(L27*I$5)+(M27*I$6)+IF(EXACT("Y",S27),P27,0)+(IF(EXACT("Human",MP5!H$13),(((IF(EXACT("Y",S27),O27,0)+(J27*K$3)+(K27*K$4)+(L27*K$5)+(M27*K$6)+E27)*1.1)*IF(EXACT("Yes",MP5!H$8),1.05,1)*(0.05*C$5)),((IF(EXACT("Y",S27),O27,0)+(J27*K$3)+(K27*K$4)+(L27*K$5)+(M27*K$6)+E27)*IF(EXACT("Yes",MP5!H$8),1.05,1)*(0.05*C$5))))</f>
        <v>95.75</v>
      </c>
      <c r="AD27" s="89">
        <f>F27+(J27*I$3)+(K27*I$4)+(L27*I$5)+(M27*I$6)+IF(EXACT("Y",S27),P27,0)+((IF(EXACT("Human",MP5!H$13),(((IF(EXACT("Y",S27),O27,0)+(J27*K$3)+(K27*K$4)+(L27*K$5)+(M27*K$6)+E27)*1.1)*IF(EXACT("Yes",MP5!H$8),1.05,1)*(0.05*C$5)),((IF(EXACT("Y",S27),O27,0)+(J27*K$3)+(K27*K$4)+(L27*K$5)+(M27*K$6)+E27)*IF(EXACT("Yes",MP5!H$8),1.05,1)*(0.05*C$5))))*IF(EXACT("Yes",MP5!H$15),1.1,1))</f>
        <v>96.125</v>
      </c>
      <c r="AE27" s="111"/>
      <c r="AF27" s="67"/>
      <c r="AG27" s="67"/>
      <c r="AH27" s="67"/>
      <c r="AI27" s="67"/>
      <c r="AJ27" s="67"/>
    </row>
    <row r="28" spans="1:36" ht="12.75">
      <c r="A28" s="51">
        <f t="shared" si="14"/>
        <v>127.6</v>
      </c>
      <c r="B28" s="53" t="s">
        <v>198</v>
      </c>
      <c r="C28" s="52"/>
      <c r="D28" s="51">
        <v>28</v>
      </c>
      <c r="E28" s="51">
        <v>22</v>
      </c>
      <c r="F28" s="51">
        <v>57</v>
      </c>
      <c r="G28" s="51"/>
      <c r="H28" s="51">
        <v>10</v>
      </c>
      <c r="I28" s="51"/>
      <c r="J28" s="52"/>
      <c r="K28" s="51"/>
      <c r="L28" s="51"/>
      <c r="M28" s="51"/>
      <c r="N28" s="52"/>
      <c r="O28" s="51"/>
      <c r="P28" s="51"/>
      <c r="Q28" s="51"/>
      <c r="R28" s="47">
        <f t="shared" si="0"/>
        <v>0</v>
      </c>
      <c r="S28" s="51" t="str">
        <f t="shared" si="8"/>
        <v>N</v>
      </c>
      <c r="T28" s="52">
        <f t="shared" si="9"/>
        <v>10</v>
      </c>
      <c r="U28" s="51">
        <f t="shared" si="10"/>
        <v>28</v>
      </c>
      <c r="V28" s="51">
        <f t="shared" si="11"/>
        <v>25.410000000000004</v>
      </c>
      <c r="W28" s="92">
        <f>(ROUNDDOWN((Y28-T28)*X!B$8,2))+T28</f>
        <v>20.33</v>
      </c>
      <c r="X28" s="89">
        <f>(ROUNDDOWN((Z28-T28)*X!B$8,2))+T28</f>
        <v>22.86</v>
      </c>
      <c r="Y28" s="92">
        <f>(5*((0.001+X!H$3*SQRT(MP5!D$6+U28)*(MP5!D$5+V28))-(0.001+X!H$3*SQRT(MP5!D$6)*(MP5!D$5))))+T28</f>
        <v>44.46057916213256</v>
      </c>
      <c r="Z28" s="89">
        <f>(5*((0.001+X!H$3*SQRT(MP5!E$6+(U28*IF(EXACT("Yes",MP5!H$15),1.1,1)))*(MP5!E$5+(V28*IF(EXACT("Yes",MP5!H$15),1.1,1))))-(0.001+X!H$3*SQRT(MP5!E$6)*(MP5!E$5))))+T28</f>
        <v>52.89451228794732</v>
      </c>
      <c r="AA28" s="81">
        <f t="shared" si="12"/>
        <v>27.56917374863977</v>
      </c>
      <c r="AB28" s="89">
        <f t="shared" si="13"/>
        <v>31.8703536863842</v>
      </c>
      <c r="AC28" s="92">
        <f>F28+(J28*I$3)+(K28*I$4)+(L28*I$5)+(M28*I$6)+IF(EXACT("Y",S28),P28,0)+(IF(EXACT("Human",MP5!H$13),(((IF(EXACT("Y",S28),O28,0)+(J28*K$3)+(K28*K$4)+(L28*K$5)+(M28*K$6)+E28)*1.1)*IF(EXACT("Yes",MP5!H$8),1.05,1)*(0.05*C$5)),((IF(EXACT("Y",S28),O28,0)+(J28*K$3)+(K28*K$4)+(L28*K$5)+(M28*K$6)+E28)*IF(EXACT("Yes",MP5!H$8),1.05,1)*(0.05*C$5))))</f>
        <v>62.5</v>
      </c>
      <c r="AD28" s="89">
        <f>F28+(J28*I$3)+(K28*I$4)+(L28*I$5)+(M28*I$6)+IF(EXACT("Y",S28),P28,0)+((IF(EXACT("Human",MP5!H$13),(((IF(EXACT("Y",S28),O28,0)+(J28*K$3)+(K28*K$4)+(L28*K$5)+(M28*K$6)+E28)*1.1)*IF(EXACT("Yes",MP5!H$8),1.05,1)*(0.05*C$5)),((IF(EXACT("Y",S28),O28,0)+(J28*K$3)+(K28*K$4)+(L28*K$5)+(M28*K$6)+E28)*IF(EXACT("Yes",MP5!H$8),1.05,1)*(0.05*C$5))))*IF(EXACT("Yes",MP5!H$15),1.1,1))</f>
        <v>63.05</v>
      </c>
      <c r="AE28" s="112"/>
      <c r="AF28" s="75"/>
      <c r="AG28" s="67"/>
      <c r="AH28" s="67"/>
      <c r="AI28" s="67"/>
      <c r="AJ28" s="67"/>
    </row>
    <row r="29" spans="1:36" ht="12.75">
      <c r="A29" s="51">
        <f t="shared" si="14"/>
        <v>0</v>
      </c>
      <c r="B29" s="50"/>
      <c r="C29" s="49"/>
      <c r="D29" s="48"/>
      <c r="E29" s="48"/>
      <c r="F29" s="48"/>
      <c r="G29" s="48"/>
      <c r="H29" s="48"/>
      <c r="I29" s="48"/>
      <c r="J29" s="49"/>
      <c r="K29" s="48"/>
      <c r="L29" s="48"/>
      <c r="M29" s="48"/>
      <c r="N29" s="49"/>
      <c r="O29" s="48"/>
      <c r="P29" s="48"/>
      <c r="Q29" s="48"/>
      <c r="R29" s="47">
        <f t="shared" si="0"/>
        <v>0</v>
      </c>
      <c r="S29" s="51" t="str">
        <f t="shared" si="8"/>
        <v>N</v>
      </c>
      <c r="T29" s="52">
        <f t="shared" si="9"/>
        <v>0</v>
      </c>
      <c r="U29" s="51">
        <f t="shared" si="10"/>
        <v>0</v>
      </c>
      <c r="V29" s="51">
        <f t="shared" si="11"/>
        <v>0</v>
      </c>
      <c r="W29" s="92">
        <f>(ROUNDDOWN((Y29-T29)*X!B$8,2))+T29</f>
        <v>0</v>
      </c>
      <c r="X29" s="89">
        <f>(ROUNDDOWN((Z29-T29)*X!B$8,2))+T29</f>
        <v>0</v>
      </c>
      <c r="Y29" s="92">
        <f>(5*((0.001+X!H$3*SQRT(MP5!D$6+U29)*(MP5!D$5+V29))-(0.001+X!H$3*SQRT(MP5!D$6)*(MP5!D$5))))+T29</f>
        <v>0</v>
      </c>
      <c r="Z29" s="89">
        <f>(5*((0.001+X!H$3*SQRT(MP5!E$6+(U29*IF(EXACT("Yes",MP5!H$15),1.1,1)))*(MP5!E$5+(V29*IF(EXACT("Yes",MP5!H$15),1.1,1))))-(0.001+X!H$3*SQRT(MP5!E$6)*(MP5!E$5))))+T29</f>
        <v>0</v>
      </c>
      <c r="AA29" s="81">
        <f t="shared" si="12"/>
        <v>0</v>
      </c>
      <c r="AB29" s="89">
        <f t="shared" si="13"/>
        <v>0</v>
      </c>
      <c r="AC29" s="92">
        <f>F29+(J29*I$3)+(K29*I$4)+(L29*I$5)+(M29*I$6)+IF(EXACT("Y",S29),P29,0)+(IF(EXACT("Human",MP5!H$13),(((IF(EXACT("Y",S29),O29,0)+(J29*K$3)+(K29*K$4)+(L29*K$5)+(M29*K$6)+E29)*1.1)*IF(EXACT("Yes",MP5!H$8),1.05,1)*(0.05*C$5)),((IF(EXACT("Y",S29),O29,0)+(J29*K$3)+(K29*K$4)+(L29*K$5)+(M29*K$6)+E29)*IF(EXACT("Yes",MP5!H$8),1.05,1)*(0.05*C$5))))</f>
        <v>0</v>
      </c>
      <c r="AD29" s="89">
        <f>F29+(J29*I$3)+(K29*I$4)+(L29*I$5)+(M29*I$6)+IF(EXACT("Y",S29),P29,0)+((IF(EXACT("Human",MP5!H$13),(((IF(EXACT("Y",S29),O29,0)+(J29*K$3)+(K29*K$4)+(L29*K$5)+(M29*K$6)+E29)*1.1)*IF(EXACT("Yes",MP5!H$8),1.05,1)*(0.05*C$5)),((IF(EXACT("Y",S29),O29,0)+(J29*K$3)+(K29*K$4)+(L29*K$5)+(M29*K$6)+E29)*IF(EXACT("Yes",MP5!H$8),1.05,1)*(0.05*C$5))))*IF(EXACT("Yes",MP5!H$15),1.1,1))</f>
        <v>0</v>
      </c>
      <c r="AE29" s="112"/>
      <c r="AF29" s="75"/>
      <c r="AG29" s="67"/>
      <c r="AH29" s="67"/>
      <c r="AI29" s="67"/>
      <c r="AJ29" s="67"/>
    </row>
    <row r="30" spans="1:36" ht="12.75">
      <c r="A30" s="51">
        <f t="shared" si="14"/>
        <v>0</v>
      </c>
      <c r="B30" s="50"/>
      <c r="C30" s="49"/>
      <c r="D30" s="48"/>
      <c r="E30" s="48"/>
      <c r="F30" s="48"/>
      <c r="G30" s="48"/>
      <c r="H30" s="48"/>
      <c r="I30" s="48"/>
      <c r="J30" s="49"/>
      <c r="K30" s="48"/>
      <c r="L30" s="48"/>
      <c r="M30" s="48"/>
      <c r="N30" s="49"/>
      <c r="O30" s="48"/>
      <c r="P30" s="48"/>
      <c r="Q30" s="48"/>
      <c r="R30" s="47">
        <f t="shared" si="0"/>
        <v>0</v>
      </c>
      <c r="S30" s="51" t="str">
        <f t="shared" si="8"/>
        <v>N</v>
      </c>
      <c r="T30" s="52">
        <f t="shared" si="9"/>
        <v>0</v>
      </c>
      <c r="U30" s="51">
        <f t="shared" si="10"/>
        <v>0</v>
      </c>
      <c r="V30" s="51">
        <f t="shared" si="11"/>
        <v>0</v>
      </c>
      <c r="W30" s="92">
        <f>(ROUNDDOWN((Y30-T30)*X!B$8,2))+T30</f>
        <v>0</v>
      </c>
      <c r="X30" s="89">
        <f>(ROUNDDOWN((Z30-T30)*X!B$8,2))+T30</f>
        <v>0</v>
      </c>
      <c r="Y30" s="92">
        <f>(5*((0.001+X!H$3*SQRT(MP5!D$6+U30)*(MP5!D$5+V30))-(0.001+X!H$3*SQRT(MP5!D$6)*(MP5!D$5))))+T30</f>
        <v>0</v>
      </c>
      <c r="Z30" s="89">
        <f>(5*((0.001+X!H$3*SQRT(MP5!E$6+(U30*IF(EXACT("Yes",MP5!H$15),1.1,1)))*(MP5!E$5+(V30*IF(EXACT("Yes",MP5!H$15),1.1,1))))-(0.001+X!H$3*SQRT(MP5!E$6)*(MP5!E$5))))+T30</f>
        <v>0</v>
      </c>
      <c r="AA30" s="81">
        <f t="shared" si="12"/>
        <v>0</v>
      </c>
      <c r="AB30" s="89">
        <f t="shared" si="13"/>
        <v>0</v>
      </c>
      <c r="AC30" s="92">
        <f>F30+(J30*I$3)+(K30*I$4)+(L30*I$5)+(M30*I$6)+IF(EXACT("Y",S30),P30,0)+(IF(EXACT("Human",MP5!H$13),(((IF(EXACT("Y",S30),O30,0)+(J30*K$3)+(K30*K$4)+(L30*K$5)+(M30*K$6)+E30)*1.1)*IF(EXACT("Yes",MP5!H$8),1.05,1)*(0.05*C$5)),((IF(EXACT("Y",S30),O30,0)+(J30*K$3)+(K30*K$4)+(L30*K$5)+(M30*K$6)+E30)*IF(EXACT("Yes",MP5!H$8),1.05,1)*(0.05*C$5))))</f>
        <v>0</v>
      </c>
      <c r="AD30" s="89">
        <f>F30+(J30*I$3)+(K30*I$4)+(L30*I$5)+(M30*I$6)+IF(EXACT("Y",S30),P30,0)+((IF(EXACT("Human",MP5!H$13),(((IF(EXACT("Y",S30),O30,0)+(J30*K$3)+(K30*K$4)+(L30*K$5)+(M30*K$6)+E30)*1.1)*IF(EXACT("Yes",MP5!H$8),1.05,1)*(0.05*C$5)),((IF(EXACT("Y",S30),O30,0)+(J30*K$3)+(K30*K$4)+(L30*K$5)+(M30*K$6)+E30)*IF(EXACT("Yes",MP5!H$8),1.05,1)*(0.05*C$5))))*IF(EXACT("Yes",MP5!H$15),1.1,1))</f>
        <v>0</v>
      </c>
      <c r="AE30" s="112"/>
      <c r="AF30" s="75"/>
      <c r="AG30" s="67"/>
      <c r="AH30" s="67"/>
      <c r="AI30" s="67"/>
      <c r="AJ30" s="67"/>
    </row>
    <row r="31" spans="1:36" ht="12.75">
      <c r="A31" s="59" t="s">
        <v>77</v>
      </c>
      <c r="B31" s="63" t="s">
        <v>195</v>
      </c>
      <c r="C31" s="62" t="s">
        <v>75</v>
      </c>
      <c r="D31" s="60" t="s">
        <v>68</v>
      </c>
      <c r="E31" s="60" t="s">
        <v>67</v>
      </c>
      <c r="F31" s="60" t="s">
        <v>66</v>
      </c>
      <c r="G31" s="60" t="s">
        <v>74</v>
      </c>
      <c r="H31" s="60" t="s">
        <v>65</v>
      </c>
      <c r="I31" s="60" t="s">
        <v>73</v>
      </c>
      <c r="J31" s="61" t="s">
        <v>72</v>
      </c>
      <c r="K31" s="59" t="s">
        <v>71</v>
      </c>
      <c r="L31" s="59" t="s">
        <v>70</v>
      </c>
      <c r="M31" s="59" t="s">
        <v>69</v>
      </c>
      <c r="N31" s="61" t="s">
        <v>68</v>
      </c>
      <c r="O31" s="59" t="s">
        <v>67</v>
      </c>
      <c r="P31" s="60" t="s">
        <v>66</v>
      </c>
      <c r="Q31" s="59" t="s">
        <v>65</v>
      </c>
      <c r="R31" s="47">
        <f t="shared" si="0"/>
        <v>3</v>
      </c>
      <c r="S31" s="59" t="s">
        <v>64</v>
      </c>
      <c r="T31" s="61" t="s">
        <v>65</v>
      </c>
      <c r="U31" s="59" t="s">
        <v>68</v>
      </c>
      <c r="V31" s="59" t="s">
        <v>67</v>
      </c>
      <c r="W31" s="90" t="s">
        <v>1</v>
      </c>
      <c r="X31" s="91" t="s">
        <v>2</v>
      </c>
      <c r="Y31" s="90" t="s">
        <v>1</v>
      </c>
      <c r="Z31" s="91" t="s">
        <v>2</v>
      </c>
      <c r="AA31" s="59" t="s">
        <v>1</v>
      </c>
      <c r="AB31" s="59" t="s">
        <v>2</v>
      </c>
      <c r="AC31" s="90" t="s">
        <v>1</v>
      </c>
      <c r="AD31" s="91" t="s">
        <v>2</v>
      </c>
      <c r="AE31" s="112"/>
      <c r="AF31" s="75"/>
      <c r="AG31" s="67"/>
      <c r="AH31" s="67"/>
      <c r="AI31" s="67"/>
      <c r="AJ31" s="67"/>
    </row>
    <row r="32" spans="1:36" ht="12.75">
      <c r="A32" s="51">
        <f aca="true" t="shared" si="15" ref="A32:A40">C32*W$6+D32*Z$3+E32*Y$3+F32*X$3+H32*W$3+J32*X$6+K32*Z$6+L32*Y$6+G32*W$9+I32*AH51+M32*Z$9+(IF(S32="Y",((P32*X$3)+(Q32*W$3)+(O32*Y$3)+(N32*Z$3)),0))</f>
        <v>216.4</v>
      </c>
      <c r="B32" s="50" t="s">
        <v>194</v>
      </c>
      <c r="C32" s="49"/>
      <c r="D32" s="48">
        <v>29</v>
      </c>
      <c r="E32" s="48">
        <v>33</v>
      </c>
      <c r="F32" s="48">
        <v>95</v>
      </c>
      <c r="G32" s="48">
        <v>21</v>
      </c>
      <c r="H32" s="48">
        <v>8</v>
      </c>
      <c r="I32" s="48"/>
      <c r="J32" s="49"/>
      <c r="K32" s="48"/>
      <c r="L32" s="48">
        <v>1</v>
      </c>
      <c r="M32" s="48"/>
      <c r="N32" s="49"/>
      <c r="O32" s="48">
        <v>2</v>
      </c>
      <c r="P32" s="48"/>
      <c r="Q32" s="48"/>
      <c r="R32" s="47">
        <f t="shared" si="0"/>
        <v>1</v>
      </c>
      <c r="S32" s="51" t="str">
        <f aca="true" t="shared" si="16" ref="S32:S40">IF(R32&gt;0,"Y","N")</f>
        <v>Y</v>
      </c>
      <c r="T32" s="52">
        <f aca="true" t="shared" si="17" ref="T32:T40">H32+(J32*H$3)+(K32*H$4)+(L32*H$5)+(M32*H$6)+IF(EXACT("Y",S32),Q32,0)</f>
        <v>8</v>
      </c>
      <c r="U32" s="51">
        <f aca="true" t="shared" si="18" ref="U32:U40">(D32+(J32*J$3)+(K32*J$4)+(L32*J$5)+(M32*J$6)+IF(EXACT("Y",S32),N32,0))*(1+C$6)</f>
        <v>29</v>
      </c>
      <c r="V32" s="51">
        <f aca="true" t="shared" si="19" ref="V32:V40">((((E32+(J32*K$3)+(K32*K$4)+(L32*K$5)+(M32*K$6)+IF(EXACT("Y",S32),O32,0))*IF(EXACT("Yes",C$3),1.1,1))*IF(EXACT("Yes",C$4),1.05,1)))*(1+C$6)</f>
        <v>40.425000000000004</v>
      </c>
      <c r="W32" s="92">
        <f>(ROUNDDOWN((Y32-T32)*X!B$8,2))+T32</f>
        <v>23.14</v>
      </c>
      <c r="X32" s="89">
        <f>(ROUNDDOWN((Z32-T32)*X!B$8,2))+T32</f>
        <v>26.64</v>
      </c>
      <c r="Y32" s="92">
        <f>(5*((0.001+X!H$3*SQRT(MP5!D$6+U32)*(MP5!D$5+V32))-(0.001+X!H$3*SQRT(MP5!D$6)*(MP5!D$5))))+T32</f>
        <v>58.484441452163864</v>
      </c>
      <c r="Z32" s="89">
        <f>(5*((0.001+X!H$3*SQRT(MP5!E$6+(U32*IF(EXACT("Yes",MP5!H$15),1.1,1)))*(MP5!E$5+(V32*IF(EXACT("Yes",MP5!H$15),1.1,1))))-(0.001+X!H$3*SQRT(MP5!E$6)*(MP5!E$5))))+T32</f>
        <v>70.1546479369367</v>
      </c>
      <c r="AA32" s="81">
        <f aca="true" t="shared" si="20" ref="AA32:AA40">((Y32-W32)*(1-C$7))+W32</f>
        <v>33.743332435649165</v>
      </c>
      <c r="AB32" s="89">
        <f aca="true" t="shared" si="21" ref="AB32:AB40">((Z32-X32)*(1-C$7))+X32</f>
        <v>39.69439438108101</v>
      </c>
      <c r="AC32" s="92">
        <f>F32+(J32*I$3)+(K32*I$4)+(L32*I$5)+(M32*I$6)+IF(EXACT("Y",S32),P32,0)+(IF(EXACT("Human",MP5!H$13),(((IF(EXACT("Y",S32),O32,0)+(J32*K$3)+(K32*K$4)+(L32*K$5)+(M32*K$6)+E32)*1.1)*IF(EXACT("Yes",MP5!H$8),1.05,1)*(0.05*C$5)),((IF(EXACT("Y",S32),O32,0)+(J32*K$3)+(K32*K$4)+(L32*K$5)+(M32*K$6)+E32)*IF(EXACT("Yes",MP5!H$8),1.05,1)*(0.05*C$5))))</f>
        <v>125.75</v>
      </c>
      <c r="AD32" s="89">
        <f>F32+(J32*I$3)+(K32*I$4)+(L32*I$5)+(M32*I$6)+IF(EXACT("Y",S32),P32,0)+((IF(EXACT("Human",MP5!H$13),(((IF(EXACT("Y",S32),O32,0)+(J32*K$3)+(K32*K$4)+(L32*K$5)+(M32*K$6)+E32)*1.1)*IF(EXACT("Yes",MP5!H$8),1.05,1)*(0.05*C$5)),((IF(EXACT("Y",S32),O32,0)+(J32*K$3)+(K32*K$4)+(L32*K$5)+(M32*K$6)+E32)*IF(EXACT("Yes",MP5!H$8),1.05,1)*(0.05*C$5))))*IF(EXACT("Yes",MP5!H$15),1.1,1))</f>
        <v>126.625</v>
      </c>
      <c r="AE32" s="112"/>
      <c r="AF32" s="75"/>
      <c r="AG32" s="67"/>
      <c r="AH32" s="67"/>
      <c r="AI32" s="67"/>
      <c r="AJ32" s="67"/>
    </row>
    <row r="33" spans="1:36" ht="12.75">
      <c r="A33" s="51">
        <f t="shared" si="15"/>
        <v>204.6</v>
      </c>
      <c r="B33" s="53" t="s">
        <v>193</v>
      </c>
      <c r="C33" s="52">
        <v>35</v>
      </c>
      <c r="D33" s="51">
        <v>24</v>
      </c>
      <c r="E33" s="51">
        <v>32</v>
      </c>
      <c r="F33" s="51">
        <v>73</v>
      </c>
      <c r="G33" s="51"/>
      <c r="H33" s="51"/>
      <c r="I33" s="51"/>
      <c r="J33" s="52">
        <v>1</v>
      </c>
      <c r="K33" s="51">
        <v>1</v>
      </c>
      <c r="L33" s="51"/>
      <c r="M33" s="51"/>
      <c r="N33" s="52"/>
      <c r="O33" s="51"/>
      <c r="P33" s="51">
        <v>7</v>
      </c>
      <c r="Q33" s="51"/>
      <c r="R33" s="47">
        <f t="shared" si="0"/>
        <v>2</v>
      </c>
      <c r="S33" s="51" t="str">
        <f t="shared" si="16"/>
        <v>Y</v>
      </c>
      <c r="T33" s="52">
        <f t="shared" si="17"/>
        <v>2</v>
      </c>
      <c r="U33" s="51">
        <f t="shared" si="18"/>
        <v>29</v>
      </c>
      <c r="V33" s="51">
        <f t="shared" si="19"/>
        <v>48.510000000000005</v>
      </c>
      <c r="W33" s="92">
        <f>(ROUNDDOWN((Y33-T33)*X!B$8,2))+T33</f>
        <v>19.68</v>
      </c>
      <c r="X33" s="89">
        <f>(ROUNDDOWN((Z33-T33)*X!B$8,2))+T33</f>
        <v>23.69</v>
      </c>
      <c r="Y33" s="92">
        <f>(5*((0.001+X!H$3*SQRT(MP5!D$6+U33)*(MP5!D$5+V33))-(0.001+X!H$3*SQRT(MP5!D$6)*(MP5!D$5))))+T33</f>
        <v>60.94905769734798</v>
      </c>
      <c r="Z33" s="89">
        <f>(5*((0.001+X!H$3*SQRT(MP5!E$6+(U33*IF(EXACT("Yes",MP5!H$15),1.1,1)))*(MP5!E$5+(V33*IF(EXACT("Yes",MP5!H$15),1.1,1))))-(0.001+X!H$3*SQRT(MP5!E$6)*(MP5!E$5))))+T33</f>
        <v>74.30031211208328</v>
      </c>
      <c r="AA33" s="81">
        <f t="shared" si="20"/>
        <v>32.06071730920439</v>
      </c>
      <c r="AB33" s="89">
        <f t="shared" si="21"/>
        <v>38.87309363362499</v>
      </c>
      <c r="AC33" s="92">
        <f>F33+(J33*I$3)+(K33*I$4)+(L33*I$5)+(M33*I$6)+IF(EXACT("Y",S33),P33,0)+(IF(EXACT("Human",MP5!H$13),(((IF(EXACT("Y",S33),O33,0)+(J33*K$3)+(K33*K$4)+(L33*K$5)+(M33*K$6)+E33)*1.1)*IF(EXACT("Yes",MP5!H$8),1.05,1)*(0.05*C$5)),((IF(EXACT("Y",S33),O33,0)+(J33*K$3)+(K33*K$4)+(L33*K$5)+(M33*K$6)+E33)*IF(EXACT("Yes",MP5!H$8),1.05,1)*(0.05*C$5))))</f>
        <v>90.5</v>
      </c>
      <c r="AD33" s="89">
        <f>F33+(J33*I$3)+(K33*I$4)+(L33*I$5)+(M33*I$6)+IF(EXACT("Y",S33),P33,0)+((IF(EXACT("Human",MP5!H$13),(((IF(EXACT("Y",S33),O33,0)+(J33*K$3)+(K33*K$4)+(L33*K$5)+(M33*K$6)+E33)*1.1)*IF(EXACT("Yes",MP5!H$8),1.05,1)*(0.05*C$5)),((IF(EXACT("Y",S33),O33,0)+(J33*K$3)+(K33*K$4)+(L33*K$5)+(M33*K$6)+E33)*IF(EXACT("Yes",MP5!H$8),1.05,1)*(0.05*C$5))))*IF(EXACT("Yes",MP5!H$15),1.1,1))</f>
        <v>91.55</v>
      </c>
      <c r="AE33" s="112"/>
      <c r="AF33" s="75"/>
      <c r="AG33" s="73"/>
      <c r="AH33" s="73"/>
      <c r="AI33" s="74"/>
      <c r="AJ33" s="73"/>
    </row>
    <row r="34" spans="1:36" ht="12.75">
      <c r="A34" s="51">
        <f t="shared" si="15"/>
        <v>180.9</v>
      </c>
      <c r="B34" s="53" t="s">
        <v>191</v>
      </c>
      <c r="C34" s="49">
        <v>13</v>
      </c>
      <c r="D34" s="51">
        <v>18</v>
      </c>
      <c r="E34" s="48">
        <v>33</v>
      </c>
      <c r="F34" s="48">
        <v>73</v>
      </c>
      <c r="G34" s="51"/>
      <c r="H34" s="51"/>
      <c r="I34" s="51"/>
      <c r="J34" s="52">
        <v>1</v>
      </c>
      <c r="K34" s="51">
        <v>1</v>
      </c>
      <c r="L34" s="51"/>
      <c r="M34" s="51"/>
      <c r="N34" s="52"/>
      <c r="O34" s="51"/>
      <c r="P34" s="51">
        <v>7</v>
      </c>
      <c r="Q34" s="51"/>
      <c r="R34" s="47">
        <f t="shared" si="0"/>
        <v>2</v>
      </c>
      <c r="S34" s="51" t="str">
        <f t="shared" si="16"/>
        <v>Y</v>
      </c>
      <c r="T34" s="52">
        <f t="shared" si="17"/>
        <v>2</v>
      </c>
      <c r="U34" s="51">
        <f t="shared" si="18"/>
        <v>23</v>
      </c>
      <c r="V34" s="51">
        <f t="shared" si="19"/>
        <v>49.665000000000006</v>
      </c>
      <c r="W34" s="92">
        <f>(ROUNDDOWN((Y34-T34)*X!B$8,2))+T34</f>
        <v>19.45</v>
      </c>
      <c r="X34" s="89">
        <f>(ROUNDDOWN((Z34-T34)*X!B$8,2))+T34</f>
        <v>23.31</v>
      </c>
      <c r="Y34" s="92">
        <f>(5*((0.001+X!H$3*SQRT(MP5!D$6+U34)*(MP5!D$5+V34))-(0.001+X!H$3*SQRT(MP5!D$6)*(MP5!D$5))))+T34</f>
        <v>60.178966897563384</v>
      </c>
      <c r="Z34" s="89">
        <f>(5*((0.001+X!H$3*SQRT(MP5!E$6+(U34*IF(EXACT("Yes",MP5!H$15),1.1,1)))*(MP5!E$5+(V34*IF(EXACT("Yes",MP5!H$15),1.1,1))))-(0.001+X!H$3*SQRT(MP5!E$6)*(MP5!E$5))))+T34</f>
        <v>73.06644873331753</v>
      </c>
      <c r="AA34" s="81">
        <f t="shared" si="20"/>
        <v>31.668690069269015</v>
      </c>
      <c r="AB34" s="89">
        <f t="shared" si="21"/>
        <v>38.23693461999526</v>
      </c>
      <c r="AC34" s="92">
        <f>F34+(J34*I$3)+(K34*I$4)+(L34*I$5)+(M34*I$6)+IF(EXACT("Y",S34),P34,0)+(IF(EXACT("Human",MP5!H$13),(((IF(EXACT("Y",S34),O34,0)+(J34*K$3)+(K34*K$4)+(L34*K$5)+(M34*K$6)+E34)*1.1)*IF(EXACT("Yes",MP5!H$8),1.05,1)*(0.05*C$5)),((IF(EXACT("Y",S34),O34,0)+(J34*K$3)+(K34*K$4)+(L34*K$5)+(M34*K$6)+E34)*IF(EXACT("Yes",MP5!H$8),1.05,1)*(0.05*C$5))))</f>
        <v>90.75</v>
      </c>
      <c r="AD34" s="89">
        <f>F34+(J34*I$3)+(K34*I$4)+(L34*I$5)+(M34*I$6)+IF(EXACT("Y",S34),P34,0)+((IF(EXACT("Human",MP5!H$13),(((IF(EXACT("Y",S34),O34,0)+(J34*K$3)+(K34*K$4)+(L34*K$5)+(M34*K$6)+E34)*1.1)*IF(EXACT("Yes",MP5!H$8),1.05,1)*(0.05*C$5)),((IF(EXACT("Y",S34),O34,0)+(J34*K$3)+(K34*K$4)+(L34*K$5)+(M34*K$6)+E34)*IF(EXACT("Yes",MP5!H$8),1.05,1)*(0.05*C$5))))*IF(EXACT("Yes",MP5!H$15),1.1,1))</f>
        <v>91.825</v>
      </c>
      <c r="AE34" s="111"/>
      <c r="AF34" s="67"/>
      <c r="AG34" s="67"/>
      <c r="AH34" s="67"/>
      <c r="AI34" s="67"/>
      <c r="AJ34" s="67"/>
    </row>
    <row r="35" spans="1:36" ht="12.75">
      <c r="A35" s="51">
        <f t="shared" si="15"/>
        <v>165</v>
      </c>
      <c r="B35" s="53" t="s">
        <v>186</v>
      </c>
      <c r="C35" s="52">
        <v>29</v>
      </c>
      <c r="D35" s="51">
        <v>30</v>
      </c>
      <c r="E35" s="51"/>
      <c r="F35" s="48">
        <v>84</v>
      </c>
      <c r="G35" s="51">
        <v>37</v>
      </c>
      <c r="H35" s="51"/>
      <c r="I35" s="51"/>
      <c r="J35" s="49"/>
      <c r="K35" s="51"/>
      <c r="L35" s="51"/>
      <c r="M35" s="51"/>
      <c r="N35" s="52"/>
      <c r="O35" s="51"/>
      <c r="P35" s="51"/>
      <c r="Q35" s="48"/>
      <c r="R35" s="47">
        <f t="shared" si="0"/>
        <v>0</v>
      </c>
      <c r="S35" s="51" t="str">
        <f t="shared" si="16"/>
        <v>N</v>
      </c>
      <c r="T35" s="52">
        <f t="shared" si="17"/>
        <v>0</v>
      </c>
      <c r="U35" s="51">
        <f t="shared" si="18"/>
        <v>30</v>
      </c>
      <c r="V35" s="51">
        <f t="shared" si="19"/>
        <v>0</v>
      </c>
      <c r="W35" s="92">
        <f>(ROUNDDOWN((Y35-T35)*X!B$8,2))+T35</f>
        <v>2.53</v>
      </c>
      <c r="X35" s="89">
        <f>(ROUNDDOWN((Z35-T35)*X!B$8,2))+T35</f>
        <v>3.54</v>
      </c>
      <c r="Y35" s="92">
        <f>(5*((0.001+X!H$3*SQRT(MP5!D$6+U35)*(MP5!D$5+V35))-(0.001+X!H$3*SQRT(MP5!D$6)*(MP5!D$5))))+T35</f>
        <v>8.438540752403654</v>
      </c>
      <c r="Z35" s="89">
        <f>(5*((0.001+X!H$3*SQRT(MP5!E$6+(U35*IF(EXACT("Yes",MP5!H$15),1.1,1)))*(MP5!E$5+(V35*IF(EXACT("Yes",MP5!H$15),1.1,1))))-(0.001+X!H$3*SQRT(MP5!E$6)*(MP5!E$5))))+T35</f>
        <v>11.81483689662798</v>
      </c>
      <c r="AA35" s="81">
        <f t="shared" si="20"/>
        <v>4.302562225721097</v>
      </c>
      <c r="AB35" s="89">
        <f t="shared" si="21"/>
        <v>6.022451068988395</v>
      </c>
      <c r="AC35" s="92">
        <f>F35+(J35*I$3)+(K35*I$4)+(L35*I$5)+(M35*I$6)+IF(EXACT("Y",S35),P35,0)+(IF(EXACT("Human",MP5!H$13),(((IF(EXACT("Y",S35),O35,0)+(J35*K$3)+(K35*K$4)+(L35*K$5)+(M35*K$6)+E35)*1.1)*IF(EXACT("Yes",MP5!H$8),1.05,1)*(0.05*C$5)),((IF(EXACT("Y",S35),O35,0)+(J35*K$3)+(K35*K$4)+(L35*K$5)+(M35*K$6)+E35)*IF(EXACT("Yes",MP5!H$8),1.05,1)*(0.05*C$5))))</f>
        <v>84</v>
      </c>
      <c r="AD35" s="89">
        <f>F35+(J35*I$3)+(K35*I$4)+(L35*I$5)+(M35*I$6)+IF(EXACT("Y",S35),P35,0)+((IF(EXACT("Human",MP5!H$13),(((IF(EXACT("Y",S35),O35,0)+(J35*K$3)+(K35*K$4)+(L35*K$5)+(M35*K$6)+E35)*1.1)*IF(EXACT("Yes",MP5!H$8),1.05,1)*(0.05*C$5)),((IF(EXACT("Y",S35),O35,0)+(J35*K$3)+(K35*K$4)+(L35*K$5)+(M35*K$6)+E35)*IF(EXACT("Yes",MP5!H$8),1.05,1)*(0.05*C$5))))*IF(EXACT("Yes",MP5!H$15),1.1,1))</f>
        <v>84</v>
      </c>
      <c r="AE35" s="92"/>
      <c r="AF35" s="81"/>
      <c r="AG35" s="81"/>
      <c r="AH35" s="81"/>
      <c r="AI35" s="81"/>
      <c r="AJ35" s="81"/>
    </row>
    <row r="36" spans="1:30" ht="12.75">
      <c r="A36" s="51">
        <f t="shared" si="15"/>
        <v>162.60000000000002</v>
      </c>
      <c r="B36" s="53" t="s">
        <v>190</v>
      </c>
      <c r="C36" s="52">
        <v>17</v>
      </c>
      <c r="D36" s="51">
        <v>34</v>
      </c>
      <c r="E36" s="51"/>
      <c r="F36" s="48">
        <v>73</v>
      </c>
      <c r="G36" s="51"/>
      <c r="H36" s="51">
        <v>6</v>
      </c>
      <c r="I36" s="51"/>
      <c r="J36" s="49">
        <v>1</v>
      </c>
      <c r="K36" s="51"/>
      <c r="L36" s="51">
        <v>1</v>
      </c>
      <c r="M36" s="51"/>
      <c r="N36" s="52"/>
      <c r="O36" s="51"/>
      <c r="P36" s="51"/>
      <c r="Q36" s="48">
        <v>1</v>
      </c>
      <c r="R36" s="47">
        <f t="shared" si="0"/>
        <v>2</v>
      </c>
      <c r="S36" s="51" t="str">
        <f t="shared" si="16"/>
        <v>Y</v>
      </c>
      <c r="T36" s="52">
        <f t="shared" si="17"/>
        <v>7</v>
      </c>
      <c r="U36" s="51">
        <f t="shared" si="18"/>
        <v>34</v>
      </c>
      <c r="V36" s="51">
        <f t="shared" si="19"/>
        <v>11.55</v>
      </c>
      <c r="W36" s="92">
        <f>(ROUNDDOWN((Y36-T36)*X!B$8,2))+T36</f>
        <v>13.5</v>
      </c>
      <c r="X36" s="89">
        <f>(ROUNDDOWN((Z36-T36)*X!B$8,2))+T36</f>
        <v>15.37</v>
      </c>
      <c r="Y36" s="92">
        <f>(5*((0.001+X!H$3*SQRT(MP5!D$6+U36)*(MP5!D$5+V36))-(0.001+X!H$3*SQRT(MP5!D$6)*(MP5!D$5))))+T36</f>
        <v>28.696670540771947</v>
      </c>
      <c r="Z36" s="89">
        <f>(5*((0.001+X!H$3*SQRT(MP5!E$6+(U36*IF(EXACT("Yes",MP5!H$15),1.1,1)))*(MP5!E$5+(V36*IF(EXACT("Yes",MP5!H$15),1.1,1))))-(0.001+X!H$3*SQRT(MP5!E$6)*(MP5!E$5))))+T36</f>
        <v>34.92558449825002</v>
      </c>
      <c r="AA36" s="81">
        <f t="shared" si="20"/>
        <v>18.059001162231585</v>
      </c>
      <c r="AB36" s="89">
        <f t="shared" si="21"/>
        <v>21.236675349475007</v>
      </c>
      <c r="AC36" s="92">
        <f>F36+(J36*I$3)+(K36*I$4)+(L36*I$5)+(M36*I$6)+IF(EXACT("Y",S36),P36,0)+(IF(EXACT("Human",MP5!H$13),(((IF(EXACT("Y",S36),O36,0)+(J36*K$3)+(K36*K$4)+(L36*K$5)+(M36*K$6)+E36)*1.1)*IF(EXACT("Yes",MP5!H$8),1.05,1)*(0.05*C$5)),((IF(EXACT("Y",S36),O36,0)+(J36*K$3)+(K36*K$4)+(L36*K$5)+(M36*K$6)+E36)*IF(EXACT("Yes",MP5!H$8),1.05,1)*(0.05*C$5))))</f>
        <v>97.5</v>
      </c>
      <c r="AD36" s="89">
        <f>F36+(J36*I$3)+(K36*I$4)+(L36*I$5)+(M36*I$6)+IF(EXACT("Y",S36),P36,0)+((IF(EXACT("Human",MP5!H$13),(((IF(EXACT("Y",S36),O36,0)+(J36*K$3)+(K36*K$4)+(L36*K$5)+(M36*K$6)+E36)*1.1)*IF(EXACT("Yes",MP5!H$8),1.05,1)*(0.05*C$5)),((IF(EXACT("Y",S36),O36,0)+(J36*K$3)+(K36*K$4)+(L36*K$5)+(M36*K$6)+E36)*IF(EXACT("Yes",MP5!H$8),1.05,1)*(0.05*C$5))))*IF(EXACT("Yes",MP5!H$15),1.1,1))</f>
        <v>97.75</v>
      </c>
    </row>
    <row r="37" spans="1:30" ht="12.75">
      <c r="A37" s="51">
        <f t="shared" si="15"/>
        <v>161.2</v>
      </c>
      <c r="B37" s="53" t="s">
        <v>188</v>
      </c>
      <c r="C37" s="52"/>
      <c r="D37" s="51">
        <v>12</v>
      </c>
      <c r="E37" s="51">
        <v>11</v>
      </c>
      <c r="F37" s="51">
        <v>81</v>
      </c>
      <c r="G37" s="51"/>
      <c r="H37" s="51">
        <v>8</v>
      </c>
      <c r="I37" s="51"/>
      <c r="J37" s="52">
        <v>1</v>
      </c>
      <c r="K37" s="51">
        <v>1</v>
      </c>
      <c r="L37" s="51"/>
      <c r="M37" s="51"/>
      <c r="N37" s="52">
        <v>3</v>
      </c>
      <c r="O37" s="51"/>
      <c r="P37" s="51"/>
      <c r="Q37" s="51"/>
      <c r="R37" s="47">
        <f t="shared" si="0"/>
        <v>2</v>
      </c>
      <c r="S37" s="51" t="str">
        <f t="shared" si="16"/>
        <v>Y</v>
      </c>
      <c r="T37" s="52">
        <f t="shared" si="17"/>
        <v>10</v>
      </c>
      <c r="U37" s="51">
        <f t="shared" si="18"/>
        <v>20</v>
      </c>
      <c r="V37" s="51">
        <f t="shared" si="19"/>
        <v>24.255000000000003</v>
      </c>
      <c r="W37" s="92">
        <f>(ROUNDDOWN((Y37-T37)*X!B$8,2))+T37</f>
        <v>19.240000000000002</v>
      </c>
      <c r="X37" s="89">
        <f>(ROUNDDOWN((Z37-T37)*X!B$8,2))+T37</f>
        <v>21.42</v>
      </c>
      <c r="Y37" s="92">
        <f>(5*((0.001+X!H$3*SQRT(MP5!D$6+U37)*(MP5!D$5+V37))-(0.001+X!H$3*SQRT(MP5!D$6)*(MP5!D$5))))+T37</f>
        <v>40.82035245593666</v>
      </c>
      <c r="Z37" s="89">
        <f>(5*((0.001+X!H$3*SQRT(MP5!E$6+(U37*IF(EXACT("Yes",MP5!H$15),1.1,1)))*(MP5!E$5+(V37*IF(EXACT("Yes",MP5!H$15),1.1,1))))-(0.001+X!H$3*SQRT(MP5!E$6)*(MP5!E$5))))+T37</f>
        <v>48.09770869174237</v>
      </c>
      <c r="AA37" s="81">
        <f t="shared" si="20"/>
        <v>25.714105736781</v>
      </c>
      <c r="AB37" s="89">
        <f t="shared" si="21"/>
        <v>29.42331260752271</v>
      </c>
      <c r="AC37" s="92">
        <f>F37+(J37*I$3)+(K37*I$4)+(L37*I$5)+(M37*I$6)+IF(EXACT("Y",S37),P37,0)+(IF(EXACT("Human",MP5!H$13),(((IF(EXACT("Y",S37),O37,0)+(J37*K$3)+(K37*K$4)+(L37*K$5)+(M37*K$6)+E37)*1.1)*IF(EXACT("Yes",MP5!H$8),1.05,1)*(0.05*C$5)),((IF(EXACT("Y",S37),O37,0)+(J37*K$3)+(K37*K$4)+(L37*K$5)+(M37*K$6)+E37)*IF(EXACT("Yes",MP5!H$8),1.05,1)*(0.05*C$5))))</f>
        <v>86.25</v>
      </c>
      <c r="AD37" s="89">
        <f>F37+(J37*I$3)+(K37*I$4)+(L37*I$5)+(M37*I$6)+IF(EXACT("Y",S37),P37,0)+((IF(EXACT("Human",MP5!H$13),(((IF(EXACT("Y",S37),O37,0)+(J37*K$3)+(K37*K$4)+(L37*K$5)+(M37*K$6)+E37)*1.1)*IF(EXACT("Yes",MP5!H$8),1.05,1)*(0.05*C$5)),((IF(EXACT("Y",S37),O37,0)+(J37*K$3)+(K37*K$4)+(L37*K$5)+(M37*K$6)+E37)*IF(EXACT("Yes",MP5!H$8),1.05,1)*(0.05*C$5))))*IF(EXACT("Yes",MP5!H$15),1.1,1))</f>
        <v>86.775</v>
      </c>
    </row>
    <row r="38" spans="1:30" ht="12.75">
      <c r="A38" s="51">
        <f t="shared" si="15"/>
        <v>129.5</v>
      </c>
      <c r="B38" s="53" t="s">
        <v>185</v>
      </c>
      <c r="C38" s="52">
        <v>24</v>
      </c>
      <c r="D38" s="51">
        <v>28</v>
      </c>
      <c r="E38" s="51">
        <v>25</v>
      </c>
      <c r="F38" s="48">
        <v>59</v>
      </c>
      <c r="G38" s="51"/>
      <c r="H38" s="51"/>
      <c r="I38" s="51"/>
      <c r="J38" s="49"/>
      <c r="K38" s="51"/>
      <c r="L38" s="51"/>
      <c r="M38" s="51"/>
      <c r="N38" s="52"/>
      <c r="O38" s="51"/>
      <c r="P38" s="51"/>
      <c r="Q38" s="48"/>
      <c r="R38" s="47">
        <f t="shared" si="0"/>
        <v>0</v>
      </c>
      <c r="S38" s="51" t="str">
        <f t="shared" si="16"/>
        <v>N</v>
      </c>
      <c r="T38" s="52">
        <f t="shared" si="17"/>
        <v>0</v>
      </c>
      <c r="U38" s="51">
        <f t="shared" si="18"/>
        <v>28</v>
      </c>
      <c r="V38" s="51">
        <f t="shared" si="19"/>
        <v>28.875000000000004</v>
      </c>
      <c r="W38" s="92">
        <f>(ROUNDDOWN((Y38-T38)*X!B$8,2))+T38</f>
        <v>11.42</v>
      </c>
      <c r="X38" s="89">
        <f>(ROUNDDOWN((Z38-T38)*X!B$8,2))+T38</f>
        <v>14.17</v>
      </c>
      <c r="Y38" s="92">
        <f>(5*((0.001+X!H$3*SQRT(MP5!D$6+U38)*(MP5!D$5+V38))-(0.001+X!H$3*SQRT(MP5!D$6)*(MP5!D$5))))+T38</f>
        <v>38.08467115023266</v>
      </c>
      <c r="Z38" s="89">
        <f>(5*((0.001+X!H$3*SQRT(MP5!E$6+(U38*IF(EXACT("Yes",MP5!H$15),1.1,1)))*(MP5!E$5+(V38*IF(EXACT("Yes",MP5!H$15),1.1,1))))-(0.001+X!H$3*SQRT(MP5!E$6)*(MP5!E$5))))+T38</f>
        <v>47.238655785149675</v>
      </c>
      <c r="AA38" s="81">
        <f t="shared" si="20"/>
        <v>19.419401345069797</v>
      </c>
      <c r="AB38" s="89">
        <f t="shared" si="21"/>
        <v>24.090596735544903</v>
      </c>
      <c r="AC38" s="92">
        <f>F38+(J38*I$3)+(K38*I$4)+(L38*I$5)+(M38*I$6)+IF(EXACT("Y",S38),P38,0)+(IF(EXACT("Human",MP5!H$13),(((IF(EXACT("Y",S38),O38,0)+(J38*K$3)+(K38*K$4)+(L38*K$5)+(M38*K$6)+E38)*1.1)*IF(EXACT("Yes",MP5!H$8),1.05,1)*(0.05*C$5)),((IF(EXACT("Y",S38),O38,0)+(J38*K$3)+(K38*K$4)+(L38*K$5)+(M38*K$6)+E38)*IF(EXACT("Yes",MP5!H$8),1.05,1)*(0.05*C$5))))</f>
        <v>65.25</v>
      </c>
      <c r="AD38" s="89">
        <f>F38+(J38*I$3)+(K38*I$4)+(L38*I$5)+(M38*I$6)+IF(EXACT("Y",S38),P38,0)+((IF(EXACT("Human",MP5!H$13),(((IF(EXACT("Y",S38),O38,0)+(J38*K$3)+(K38*K$4)+(L38*K$5)+(M38*K$6)+E38)*1.1)*IF(EXACT("Yes",MP5!H$8),1.05,1)*(0.05*C$5)),((IF(EXACT("Y",S38),O38,0)+(J38*K$3)+(K38*K$4)+(L38*K$5)+(M38*K$6)+E38)*IF(EXACT("Yes",MP5!H$8),1.05,1)*(0.05*C$5))))*IF(EXACT("Yes",MP5!H$15),1.1,1))</f>
        <v>65.875</v>
      </c>
    </row>
    <row r="39" spans="1:30" ht="12.75">
      <c r="A39" s="51">
        <f t="shared" si="15"/>
        <v>0</v>
      </c>
      <c r="B39" s="50"/>
      <c r="C39" s="49"/>
      <c r="D39" s="48"/>
      <c r="E39" s="48"/>
      <c r="F39" s="48"/>
      <c r="G39" s="48"/>
      <c r="H39" s="48"/>
      <c r="I39" s="48"/>
      <c r="J39" s="49"/>
      <c r="K39" s="48"/>
      <c r="L39" s="48"/>
      <c r="M39" s="48"/>
      <c r="N39" s="49"/>
      <c r="O39" s="48"/>
      <c r="P39" s="48"/>
      <c r="Q39" s="48"/>
      <c r="R39" s="47">
        <f t="shared" si="0"/>
        <v>0</v>
      </c>
      <c r="S39" s="51" t="str">
        <f t="shared" si="16"/>
        <v>N</v>
      </c>
      <c r="T39" s="52">
        <f t="shared" si="17"/>
        <v>0</v>
      </c>
      <c r="U39" s="51">
        <f t="shared" si="18"/>
        <v>0</v>
      </c>
      <c r="V39" s="51">
        <f t="shared" si="19"/>
        <v>0</v>
      </c>
      <c r="W39" s="92">
        <f>(ROUNDDOWN((Y39-T39)*X!B$8,2))+T39</f>
        <v>0</v>
      </c>
      <c r="X39" s="89">
        <f>(ROUNDDOWN((Z39-T39)*X!B$8,2))+T39</f>
        <v>0</v>
      </c>
      <c r="Y39" s="92">
        <f>(5*((0.001+X!H$3*SQRT(MP5!D$6+U39)*(MP5!D$5+V39))-(0.001+X!H$3*SQRT(MP5!D$6)*(MP5!D$5))))+T39</f>
        <v>0</v>
      </c>
      <c r="Z39" s="89">
        <f>(5*((0.001+X!H$3*SQRT(MP5!E$6+(U39*IF(EXACT("Yes",MP5!H$15),1.1,1)))*(MP5!E$5+(V39*IF(EXACT("Yes",MP5!H$15),1.1,1))))-(0.001+X!H$3*SQRT(MP5!E$6)*(MP5!E$5))))+T39</f>
        <v>0</v>
      </c>
      <c r="AA39" s="81">
        <f t="shared" si="20"/>
        <v>0</v>
      </c>
      <c r="AB39" s="89">
        <f t="shared" si="21"/>
        <v>0</v>
      </c>
      <c r="AC39" s="92">
        <f>F39+(J39*I$3)+(K39*I$4)+(L39*I$5)+(M39*I$6)+IF(EXACT("Y",S39),P39,0)+(IF(EXACT("Human",MP5!H$13),(((IF(EXACT("Y",S39),O39,0)+(J39*K$3)+(K39*K$4)+(L39*K$5)+(M39*K$6)+E39)*1.1)*IF(EXACT("Yes",MP5!H$8),1.05,1)*(0.05*C$5)),((IF(EXACT("Y",S39),O39,0)+(J39*K$3)+(K39*K$4)+(L39*K$5)+(M39*K$6)+E39)*IF(EXACT("Yes",MP5!H$8),1.05,1)*(0.05*C$5))))</f>
        <v>0</v>
      </c>
      <c r="AD39" s="89">
        <f>F39+(J39*I$3)+(K39*I$4)+(L39*I$5)+(M39*I$6)+IF(EXACT("Y",S39),P39,0)+((IF(EXACT("Human",MP5!H$13),(((IF(EXACT("Y",S39),O39,0)+(J39*K$3)+(K39*K$4)+(L39*K$5)+(M39*K$6)+E39)*1.1)*IF(EXACT("Yes",MP5!H$8),1.05,1)*(0.05*C$5)),((IF(EXACT("Y",S39),O39,0)+(J39*K$3)+(K39*K$4)+(L39*K$5)+(M39*K$6)+E39)*IF(EXACT("Yes",MP5!H$8),1.05,1)*(0.05*C$5))))*IF(EXACT("Yes",MP5!H$15),1.1,1))</f>
        <v>0</v>
      </c>
    </row>
    <row r="40" spans="1:30" ht="12.75">
      <c r="A40" s="51">
        <f t="shared" si="15"/>
        <v>0</v>
      </c>
      <c r="B40" s="50"/>
      <c r="C40" s="49"/>
      <c r="D40" s="48"/>
      <c r="E40" s="48"/>
      <c r="F40" s="48"/>
      <c r="G40" s="48"/>
      <c r="H40" s="48"/>
      <c r="I40" s="48"/>
      <c r="J40" s="49"/>
      <c r="K40" s="48"/>
      <c r="L40" s="48"/>
      <c r="M40" s="48"/>
      <c r="N40" s="49"/>
      <c r="O40" s="48"/>
      <c r="P40" s="48"/>
      <c r="Q40" s="48"/>
      <c r="R40" s="47">
        <f t="shared" si="0"/>
        <v>0</v>
      </c>
      <c r="S40" s="51" t="str">
        <f t="shared" si="16"/>
        <v>N</v>
      </c>
      <c r="T40" s="52">
        <f t="shared" si="17"/>
        <v>0</v>
      </c>
      <c r="U40" s="51">
        <f t="shared" si="18"/>
        <v>0</v>
      </c>
      <c r="V40" s="51">
        <f t="shared" si="19"/>
        <v>0</v>
      </c>
      <c r="W40" s="92">
        <f>(ROUNDDOWN((Y40-T40)*X!B$8,2))+T40</f>
        <v>0</v>
      </c>
      <c r="X40" s="89">
        <f>(ROUNDDOWN((Z40-T40)*X!B$8,2))+T40</f>
        <v>0</v>
      </c>
      <c r="Y40" s="92">
        <f>(5*((0.001+X!H$3*SQRT(MP5!D$6+U40)*(MP5!D$5+V40))-(0.001+X!H$3*SQRT(MP5!D$6)*(MP5!D$5))))+T40</f>
        <v>0</v>
      </c>
      <c r="Z40" s="89">
        <f>(5*((0.001+X!H$3*SQRT(MP5!E$6+(U40*IF(EXACT("Yes",MP5!H$15),1.1,1)))*(MP5!E$5+(V40*IF(EXACT("Yes",MP5!H$15),1.1,1))))-(0.001+X!H$3*SQRT(MP5!E$6)*(MP5!E$5))))+T40</f>
        <v>0</v>
      </c>
      <c r="AA40" s="81">
        <f t="shared" si="20"/>
        <v>0</v>
      </c>
      <c r="AB40" s="89">
        <f t="shared" si="21"/>
        <v>0</v>
      </c>
      <c r="AC40" s="92">
        <f>F40+(J40*I$3)+(K40*I$4)+(L40*I$5)+(M40*I$6)+IF(EXACT("Y",S40),P40,0)+(IF(EXACT("Human",MP5!H$13),(((IF(EXACT("Y",S40),O40,0)+(J40*K$3)+(K40*K$4)+(L40*K$5)+(M40*K$6)+E40)*1.1)*IF(EXACT("Yes",MP5!H$8),1.05,1)*(0.05*C$5)),((IF(EXACT("Y",S40),O40,0)+(J40*K$3)+(K40*K$4)+(L40*K$5)+(M40*K$6)+E40)*IF(EXACT("Yes",MP5!H$8),1.05,1)*(0.05*C$5))))</f>
        <v>0</v>
      </c>
      <c r="AD40" s="89">
        <f>F40+(J40*I$3)+(K40*I$4)+(L40*I$5)+(M40*I$6)+IF(EXACT("Y",S40),P40,0)+((IF(EXACT("Human",MP5!H$13),(((IF(EXACT("Y",S40),O40,0)+(J40*K$3)+(K40*K$4)+(L40*K$5)+(M40*K$6)+E40)*1.1)*IF(EXACT("Yes",MP5!H$8),1.05,1)*(0.05*C$5)),((IF(EXACT("Y",S40),O40,0)+(J40*K$3)+(K40*K$4)+(L40*K$5)+(M40*K$6)+E40)*IF(EXACT("Yes",MP5!H$8),1.05,1)*(0.05*C$5))))*IF(EXACT("Yes",MP5!H$15),1.1,1))</f>
        <v>0</v>
      </c>
    </row>
    <row r="41" spans="1:30" ht="12.75">
      <c r="A41" s="59" t="s">
        <v>77</v>
      </c>
      <c r="B41" s="63" t="s">
        <v>184</v>
      </c>
      <c r="C41" s="62" t="s">
        <v>75</v>
      </c>
      <c r="D41" s="60" t="s">
        <v>68</v>
      </c>
      <c r="E41" s="60" t="s">
        <v>67</v>
      </c>
      <c r="F41" s="60" t="s">
        <v>66</v>
      </c>
      <c r="G41" s="60" t="s">
        <v>74</v>
      </c>
      <c r="H41" s="60" t="s">
        <v>65</v>
      </c>
      <c r="I41" s="60" t="s">
        <v>73</v>
      </c>
      <c r="J41" s="61" t="s">
        <v>72</v>
      </c>
      <c r="K41" s="59" t="s">
        <v>71</v>
      </c>
      <c r="L41" s="59" t="s">
        <v>70</v>
      </c>
      <c r="M41" s="59" t="s">
        <v>69</v>
      </c>
      <c r="N41" s="61" t="s">
        <v>68</v>
      </c>
      <c r="O41" s="59" t="s">
        <v>67</v>
      </c>
      <c r="P41" s="60" t="s">
        <v>66</v>
      </c>
      <c r="Q41" s="59" t="s">
        <v>65</v>
      </c>
      <c r="R41" s="47">
        <f t="shared" si="0"/>
        <v>3</v>
      </c>
      <c r="S41" s="59" t="s">
        <v>64</v>
      </c>
      <c r="T41" s="61" t="s">
        <v>65</v>
      </c>
      <c r="U41" s="59" t="s">
        <v>68</v>
      </c>
      <c r="V41" s="59" t="s">
        <v>67</v>
      </c>
      <c r="W41" s="90" t="s">
        <v>1</v>
      </c>
      <c r="X41" s="91" t="s">
        <v>2</v>
      </c>
      <c r="Y41" s="90" t="s">
        <v>1</v>
      </c>
      <c r="Z41" s="91" t="s">
        <v>2</v>
      </c>
      <c r="AA41" s="59" t="s">
        <v>1</v>
      </c>
      <c r="AB41" s="59" t="s">
        <v>2</v>
      </c>
      <c r="AC41" s="90" t="s">
        <v>1</v>
      </c>
      <c r="AD41" s="91" t="s">
        <v>2</v>
      </c>
    </row>
    <row r="42" spans="1:30" ht="12.75">
      <c r="A42" s="51">
        <f aca="true" t="shared" si="22" ref="A42:A53">C42*W$6+D42*Z$3+E42*Y$3+F42*X$3+H42*W$3+J42*X$6+K42*Z$6+L42*Y$6+G42*W$9+I42*AH61+M42*Z$9+(IF(S42="Y",((P42*X$3)+(Q42*W$3)+(O42*Y$3)+(N42*Z$3)),0))</f>
        <v>336.2</v>
      </c>
      <c r="B42" s="50" t="s">
        <v>182</v>
      </c>
      <c r="C42" s="49">
        <v>39</v>
      </c>
      <c r="D42" s="48">
        <v>40</v>
      </c>
      <c r="E42" s="48">
        <v>40</v>
      </c>
      <c r="F42" s="48">
        <v>134</v>
      </c>
      <c r="G42" s="48">
        <v>32</v>
      </c>
      <c r="H42" s="48"/>
      <c r="I42" s="48"/>
      <c r="J42" s="49">
        <v>2</v>
      </c>
      <c r="K42" s="48">
        <v>1</v>
      </c>
      <c r="L42" s="48"/>
      <c r="M42" s="48"/>
      <c r="N42" s="49"/>
      <c r="O42" s="48">
        <v>4</v>
      </c>
      <c r="P42" s="48"/>
      <c r="Q42" s="48"/>
      <c r="R42" s="47">
        <f t="shared" si="0"/>
        <v>2</v>
      </c>
      <c r="S42" s="51" t="str">
        <f aca="true" t="shared" si="23" ref="S42:S53">IF(R42&gt;0,"Y","N")</f>
        <v>Y</v>
      </c>
      <c r="T42" s="52">
        <f aca="true" t="shared" si="24" ref="T42:T53">H42+(J42*H$3)+(K42*H$4)+(L42*H$5)+(M42*H$6)+IF(EXACT("Y",S42),Q42,0)</f>
        <v>2</v>
      </c>
      <c r="U42" s="51">
        <f aca="true" t="shared" si="25" ref="U42:U53">(D42+(J42*J$3)+(K42*J$4)+(L42*J$5)+(M42*J$6)+IF(EXACT("Y",S42),N42,0))*(1+C$6)</f>
        <v>45</v>
      </c>
      <c r="V42" s="51">
        <f aca="true" t="shared" si="26" ref="V42:V53">((((E42+(J42*K$3)+(K42*K$4)+(L42*K$5)+(M42*K$6)+IF(EXACT("Y",S42),O42,0))*IF(EXACT("Yes",C$3),1.1,1))*IF(EXACT("Yes",C$4),1.05,1)))*(1+C$6)</f>
        <v>73.92000000000002</v>
      </c>
      <c r="W42" s="92">
        <f>(ROUNDDOWN((Y42-T42)*X!B$8,2))+T42</f>
        <v>29.35</v>
      </c>
      <c r="X42" s="89">
        <f>(ROUNDDOWN((Z42-T42)*X!B$8,2))+T42</f>
        <v>35.51</v>
      </c>
      <c r="Y42" s="92">
        <f>(5*((0.001+X!H$3*SQRT(MP5!D$6+U42)*(MP5!D$5+V42))-(0.001+X!H$3*SQRT(MP5!D$6)*(MP5!D$5))))+T42</f>
        <v>93.17338501631338</v>
      </c>
      <c r="Z42" s="89">
        <f>(5*((0.001+X!H$3*SQRT(MP5!E$6+(U42*IF(EXACT("Yes",MP5!H$15),1.1,1)))*(MP5!E$5+(V42*IF(EXACT("Yes",MP5!H$15),1.1,1))))-(0.001+X!H$3*SQRT(MP5!E$6)*(MP5!E$5))))+T42</f>
        <v>113.71486774927878</v>
      </c>
      <c r="AA42" s="81">
        <f aca="true" t="shared" si="27" ref="AA42:AA53">((Y42-W42)*(1-C$7))+W42</f>
        <v>48.497015504894016</v>
      </c>
      <c r="AB42" s="89">
        <f aca="true" t="shared" si="28" ref="AB42:AB53">((Z42-X42)*(1-C$7))+X42</f>
        <v>58.971460324783635</v>
      </c>
      <c r="AC42" s="92">
        <f>F42+(J42*I$3)+(K42*I$4)+(L42*I$5)+(M42*I$6)+IF(EXACT("Y",S42),P42,0)+(IF(EXACT("Human",MP5!H$13),(((IF(EXACT("Y",S42),O42,0)+(J42*K$3)+(K42*K$4)+(L42*K$5)+(M42*K$6)+E42)*1.1)*IF(EXACT("Yes",MP5!H$8),1.05,1)*(0.05*C$5)),((IF(EXACT("Y",S42),O42,0)+(J42*K$3)+(K42*K$4)+(L42*K$5)+(M42*K$6)+E42)*IF(EXACT("Yes",MP5!H$8),1.05,1)*(0.05*C$5))))</f>
        <v>150</v>
      </c>
      <c r="AD42" s="89">
        <f>F42+(J42*I$3)+(K42*I$4)+(L42*I$5)+(M42*I$6)+IF(EXACT("Y",S42),P42,0)+((IF(EXACT("Human",MP5!H$13),(((IF(EXACT("Y",S42),O42,0)+(J42*K$3)+(K42*K$4)+(L42*K$5)+(M42*K$6)+E42)*1.1)*IF(EXACT("Yes",MP5!H$8),1.05,1)*(0.05*C$5)),((IF(EXACT("Y",S42),O42,0)+(J42*K$3)+(K42*K$4)+(L42*K$5)+(M42*K$6)+E42)*IF(EXACT("Yes",MP5!H$8),1.05,1)*(0.05*C$5))))*IF(EXACT("Yes",MP5!H$15),1.1,1))</f>
        <v>151.6</v>
      </c>
    </row>
    <row r="43" spans="1:30" ht="12.75">
      <c r="A43" s="51">
        <f t="shared" si="22"/>
        <v>331.40000000000003</v>
      </c>
      <c r="B43" s="58" t="s">
        <v>181</v>
      </c>
      <c r="C43" s="49">
        <v>36</v>
      </c>
      <c r="D43" s="48">
        <v>34</v>
      </c>
      <c r="E43" s="48"/>
      <c r="F43" s="48">
        <v>134</v>
      </c>
      <c r="G43" s="48">
        <v>40</v>
      </c>
      <c r="H43" s="48">
        <v>16</v>
      </c>
      <c r="I43" s="48"/>
      <c r="J43" s="66">
        <v>3</v>
      </c>
      <c r="K43" s="65"/>
      <c r="L43" s="65"/>
      <c r="M43" s="65"/>
      <c r="N43" s="66"/>
      <c r="O43" s="65"/>
      <c r="P43" s="48"/>
      <c r="Q43" s="65">
        <v>2</v>
      </c>
      <c r="R43" s="47">
        <f t="shared" si="0"/>
        <v>1</v>
      </c>
      <c r="S43" s="51" t="str">
        <f t="shared" si="23"/>
        <v>Y</v>
      </c>
      <c r="T43" s="52">
        <f t="shared" si="24"/>
        <v>18</v>
      </c>
      <c r="U43" s="51">
        <f t="shared" si="25"/>
        <v>34</v>
      </c>
      <c r="V43" s="51">
        <f t="shared" si="26"/>
        <v>34.65</v>
      </c>
      <c r="W43" s="92">
        <f>(ROUNDDOWN((Y43-T43)*X!B$8,2))+T43</f>
        <v>31.8</v>
      </c>
      <c r="X43" s="89">
        <f>(ROUNDDOWN((Z43-T43)*X!B$8,2))+T43</f>
        <v>35.11</v>
      </c>
      <c r="Y43" s="92">
        <f>(5*((0.001+X!H$3*SQRT(MP5!D$6+U43)*(MP5!D$5+V43))-(0.001+X!H$3*SQRT(MP5!D$6)*(MP5!D$5))))+T43</f>
        <v>64.00095570483208</v>
      </c>
      <c r="Z43" s="89">
        <f>(5*((0.001+X!H$3*SQRT(MP5!E$6+(U43*IF(EXACT("Yes",MP5!H$15),1.1,1)))*(MP5!E$5+(V43*IF(EXACT("Yes",MP5!H$15),1.1,1))))-(0.001+X!H$3*SQRT(MP5!E$6)*(MP5!E$5))))+T43</f>
        <v>75.04610685333684</v>
      </c>
      <c r="AA43" s="81">
        <f t="shared" si="27"/>
        <v>41.460286711449626</v>
      </c>
      <c r="AB43" s="89">
        <f t="shared" si="28"/>
        <v>47.090832056001055</v>
      </c>
      <c r="AC43" s="92">
        <f>F43+(J43*I$3)+(K43*I$4)+(L43*I$5)+(M43*I$6)+IF(EXACT("Y",S43),P43,0)+(IF(EXACT("Human",MP5!H$13),(((IF(EXACT("Y",S43),O43,0)+(J43*K$3)+(K43*K$4)+(L43*K$5)+(M43*K$6)+E43)*1.1)*IF(EXACT("Yes",MP5!H$8),1.05,1)*(0.05*C$5)),((IF(EXACT("Y",S43),O43,0)+(J43*K$3)+(K43*K$4)+(L43*K$5)+(M43*K$6)+E43)*IF(EXACT("Yes",MP5!H$8),1.05,1)*(0.05*C$5))))</f>
        <v>141.5</v>
      </c>
      <c r="AD43" s="89">
        <f>F43+(J43*I$3)+(K43*I$4)+(L43*I$5)+(M43*I$6)+IF(EXACT("Y",S43),P43,0)+((IF(EXACT("Human",MP5!H$13),(((IF(EXACT("Y",S43),O43,0)+(J43*K$3)+(K43*K$4)+(L43*K$5)+(M43*K$6)+E43)*1.1)*IF(EXACT("Yes",MP5!H$8),1.05,1)*(0.05*C$5)),((IF(EXACT("Y",S43),O43,0)+(J43*K$3)+(K43*K$4)+(L43*K$5)+(M43*K$6)+E43)*IF(EXACT("Yes",MP5!H$8),1.05,1)*(0.05*C$5))))*IF(EXACT("Yes",MP5!H$15),1.1,1))</f>
        <v>142.25</v>
      </c>
    </row>
    <row r="44" spans="1:30" ht="12.75">
      <c r="A44" s="51">
        <f t="shared" si="22"/>
        <v>313.20000000000005</v>
      </c>
      <c r="B44" s="53" t="s">
        <v>180</v>
      </c>
      <c r="C44" s="52">
        <v>48</v>
      </c>
      <c r="D44" s="51">
        <v>32</v>
      </c>
      <c r="E44" s="51">
        <v>36</v>
      </c>
      <c r="F44" s="51">
        <v>117</v>
      </c>
      <c r="G44" s="51"/>
      <c r="H44" s="51">
        <v>8</v>
      </c>
      <c r="I44" s="51"/>
      <c r="J44" s="52">
        <v>2</v>
      </c>
      <c r="K44" s="51">
        <v>1</v>
      </c>
      <c r="L44" s="51"/>
      <c r="M44" s="51"/>
      <c r="N44" s="52"/>
      <c r="O44" s="51"/>
      <c r="P44" s="51">
        <v>9</v>
      </c>
      <c r="Q44" s="51"/>
      <c r="R44" s="47">
        <f aca="true" t="shared" si="29" ref="R44:R75">IF(AND(J44&gt;=1,L$3="Y",L$3="y"),1,0)+IF(AND(K44&gt;=1,L$4="Y",L$4="y"),1,0)+IF(AND(L44&gt;=1,L$5="Y",L$5="y"),1,0)+IF(AND(J44&gt;=1,L$3&lt;&gt;"Y",L$3&lt;&gt;"y"),-3,0)+IF(AND(K44&gt;=1,L$4&lt;&gt;"Y",L$4&lt;&gt;"y"),-3,0)+IF(AND(L44&gt;=1,L$5&lt;&gt;"Y",L$5&lt;&gt;"y"),-3,0)</f>
        <v>2</v>
      </c>
      <c r="S44" s="51" t="str">
        <f t="shared" si="23"/>
        <v>Y</v>
      </c>
      <c r="T44" s="52">
        <f t="shared" si="24"/>
        <v>10</v>
      </c>
      <c r="U44" s="51">
        <f t="shared" si="25"/>
        <v>37</v>
      </c>
      <c r="V44" s="51">
        <f t="shared" si="26"/>
        <v>64.68</v>
      </c>
      <c r="W44" s="92">
        <f>(ROUNDDOWN((Y44-T44)*X!B$8,2))+T44</f>
        <v>33.58</v>
      </c>
      <c r="X44" s="89">
        <f>(ROUNDDOWN((Z44-T44)*X!B$8,2))+T44</f>
        <v>38.879999999999995</v>
      </c>
      <c r="Y44" s="92">
        <f>(5*((0.001+X!H$3*SQRT(MP5!D$6+U44)*(MP5!D$5+V44))-(0.001+X!H$3*SQRT(MP5!D$6)*(MP5!D$5))))+T44</f>
        <v>88.62341924541262</v>
      </c>
      <c r="Z44" s="89">
        <f>(5*((0.001+X!H$3*SQRT(MP5!E$6+(U44*IF(EXACT("Yes",MP5!H$15),1.1,1)))*(MP5!E$5+(V44*IF(EXACT("Yes",MP5!H$15),1.1,1))))-(0.001+X!H$3*SQRT(MP5!E$6)*(MP5!E$5))))+T44</f>
        <v>106.28442375040763</v>
      </c>
      <c r="AA44" s="81">
        <f t="shared" si="27"/>
        <v>50.093025773623786</v>
      </c>
      <c r="AB44" s="89">
        <f t="shared" si="28"/>
        <v>59.10132712512229</v>
      </c>
      <c r="AC44" s="92">
        <f>F44+(J44*I$3)+(K44*I$4)+(L44*I$5)+(M44*I$6)+IF(EXACT("Y",S44),P44,0)+(IF(EXACT("Human",MP5!H$13),(((IF(EXACT("Y",S44),O44,0)+(J44*K$3)+(K44*K$4)+(L44*K$5)+(M44*K$6)+E44)*1.1)*IF(EXACT("Yes",MP5!H$8),1.05,1)*(0.05*C$5)),((IF(EXACT("Y",S44),O44,0)+(J44*K$3)+(K44*K$4)+(L44*K$5)+(M44*K$6)+E44)*IF(EXACT("Yes",MP5!H$8),1.05,1)*(0.05*C$5))))</f>
        <v>140</v>
      </c>
      <c r="AD44" s="89">
        <f>F44+(J44*I$3)+(K44*I$4)+(L44*I$5)+(M44*I$6)+IF(EXACT("Y",S44),P44,0)+((IF(EXACT("Human",MP5!H$13),(((IF(EXACT("Y",S44),O44,0)+(J44*K$3)+(K44*K$4)+(L44*K$5)+(M44*K$6)+E44)*1.1)*IF(EXACT("Yes",MP5!H$8),1.05,1)*(0.05*C$5)),((IF(EXACT("Y",S44),O44,0)+(J44*K$3)+(K44*K$4)+(L44*K$5)+(M44*K$6)+E44)*IF(EXACT("Yes",MP5!H$8),1.05,1)*(0.05*C$5))))*IF(EXACT("Yes",MP5!H$15),1.1,1))</f>
        <v>141.4</v>
      </c>
    </row>
    <row r="45" spans="1:30" ht="12.75">
      <c r="A45" s="51">
        <f t="shared" si="22"/>
        <v>265.2</v>
      </c>
      <c r="B45" s="53" t="s">
        <v>179</v>
      </c>
      <c r="C45" s="52">
        <v>36</v>
      </c>
      <c r="D45" s="51">
        <v>25</v>
      </c>
      <c r="E45" s="51">
        <v>39</v>
      </c>
      <c r="F45" s="51">
        <v>103</v>
      </c>
      <c r="G45" s="51"/>
      <c r="H45" s="51"/>
      <c r="I45" s="51"/>
      <c r="J45" s="52">
        <v>2</v>
      </c>
      <c r="K45" s="51">
        <v>1</v>
      </c>
      <c r="L45" s="51"/>
      <c r="M45" s="51"/>
      <c r="N45" s="52"/>
      <c r="O45" s="51"/>
      <c r="P45" s="51">
        <v>9</v>
      </c>
      <c r="Q45" s="51"/>
      <c r="R45" s="47">
        <f t="shared" si="29"/>
        <v>2</v>
      </c>
      <c r="S45" s="51" t="str">
        <f t="shared" si="23"/>
        <v>Y</v>
      </c>
      <c r="T45" s="52">
        <f t="shared" si="24"/>
        <v>2</v>
      </c>
      <c r="U45" s="51">
        <f t="shared" si="25"/>
        <v>30</v>
      </c>
      <c r="V45" s="51">
        <f t="shared" si="26"/>
        <v>68.14500000000001</v>
      </c>
      <c r="W45" s="92">
        <f>(ROUNDDOWN((Y45-T45)*X!B$8,2))+T45</f>
        <v>25.95</v>
      </c>
      <c r="X45" s="89">
        <f>(ROUNDDOWN((Z45-T45)*X!B$8,2))+T45</f>
        <v>31.22</v>
      </c>
      <c r="Y45" s="92">
        <f>(5*((0.001+X!H$3*SQRT(MP5!D$6+U45)*(MP5!D$5+V45))-(0.001+X!H$3*SQRT(MP5!D$6)*(MP5!D$5))))+T45</f>
        <v>81.85390671231407</v>
      </c>
      <c r="Z45" s="89">
        <f>(5*((0.001+X!H$3*SQRT(MP5!E$6+(U45*IF(EXACT("Yes",MP5!H$15),1.1,1)))*(MP5!E$5+(V45*IF(EXACT("Yes",MP5!H$15),1.1,1))))-(0.001+X!H$3*SQRT(MP5!E$6)*(MP5!E$5))))+T45</f>
        <v>99.40685292612554</v>
      </c>
      <c r="AA45" s="81">
        <f t="shared" si="27"/>
        <v>42.72117201369422</v>
      </c>
      <c r="AB45" s="89">
        <f t="shared" si="28"/>
        <v>51.67605587783766</v>
      </c>
      <c r="AC45" s="92">
        <f>F45+(J45*I$3)+(K45*I$4)+(L45*I$5)+(M45*I$6)+IF(EXACT("Y",S45),P45,0)+(IF(EXACT("Human",MP5!H$13),(((IF(EXACT("Y",S45),O45,0)+(J45*K$3)+(K45*K$4)+(L45*K$5)+(M45*K$6)+E45)*1.1)*IF(EXACT("Yes",MP5!H$8),1.05,1)*(0.05*C$5)),((IF(EXACT("Y",S45),O45,0)+(J45*K$3)+(K45*K$4)+(L45*K$5)+(M45*K$6)+E45)*IF(EXACT("Yes",MP5!H$8),1.05,1)*(0.05*C$5))))</f>
        <v>126.75</v>
      </c>
      <c r="AD45" s="89">
        <f>F45+(J45*I$3)+(K45*I$4)+(L45*I$5)+(M45*I$6)+IF(EXACT("Y",S45),P45,0)+((IF(EXACT("Human",MP5!H$13),(((IF(EXACT("Y",S45),O45,0)+(J45*K$3)+(K45*K$4)+(L45*K$5)+(M45*K$6)+E45)*1.1)*IF(EXACT("Yes",MP5!H$8),1.05,1)*(0.05*C$5)),((IF(EXACT("Y",S45),O45,0)+(J45*K$3)+(K45*K$4)+(L45*K$5)+(M45*K$6)+E45)*IF(EXACT("Yes",MP5!H$8),1.05,1)*(0.05*C$5))))*IF(EXACT("Yes",MP5!H$15),1.1,1))</f>
        <v>128.225</v>
      </c>
    </row>
    <row r="46" spans="1:30" ht="12.75">
      <c r="A46" s="51">
        <f t="shared" si="22"/>
        <v>257.1</v>
      </c>
      <c r="B46" s="50" t="s">
        <v>183</v>
      </c>
      <c r="C46" s="49">
        <v>36</v>
      </c>
      <c r="D46" s="48">
        <v>35</v>
      </c>
      <c r="E46" s="48">
        <v>50</v>
      </c>
      <c r="F46" s="48">
        <v>118</v>
      </c>
      <c r="G46" s="48"/>
      <c r="H46" s="48"/>
      <c r="I46" s="48"/>
      <c r="J46" s="49"/>
      <c r="K46" s="48"/>
      <c r="L46" s="48">
        <v>1</v>
      </c>
      <c r="M46" s="48"/>
      <c r="N46" s="49"/>
      <c r="O46" s="48">
        <v>2</v>
      </c>
      <c r="P46" s="48"/>
      <c r="Q46" s="48"/>
      <c r="R46" s="47">
        <f t="shared" si="29"/>
        <v>1</v>
      </c>
      <c r="S46" s="51" t="str">
        <f t="shared" si="23"/>
        <v>Y</v>
      </c>
      <c r="T46" s="52">
        <f t="shared" si="24"/>
        <v>0</v>
      </c>
      <c r="U46" s="51">
        <f t="shared" si="25"/>
        <v>35</v>
      </c>
      <c r="V46" s="51">
        <f t="shared" si="26"/>
        <v>60.06</v>
      </c>
      <c r="W46" s="92">
        <f>(ROUNDDOWN((Y46-T46)*X!B$8,2))+T46</f>
        <v>21.92</v>
      </c>
      <c r="X46" s="89">
        <f>(ROUNDDOWN((Z46-T46)*X!B$8,2))+T46</f>
        <v>26.86</v>
      </c>
      <c r="Y46" s="92">
        <f>(5*((0.001+X!H$3*SQRT(MP5!D$6+U46)*(MP5!D$5+V46))-(0.001+X!H$3*SQRT(MP5!D$6)*(MP5!D$5))))+T46</f>
        <v>73.07352985069379</v>
      </c>
      <c r="Z46" s="89">
        <f>(5*((0.001+X!H$3*SQRT(MP5!E$6+(U46*IF(EXACT("Yes",MP5!H$15),1.1,1)))*(MP5!E$5+(V46*IF(EXACT("Yes",MP5!H$15),1.1,1))))-(0.001+X!H$3*SQRT(MP5!E$6)*(MP5!E$5))))+T46</f>
        <v>89.53434400625035</v>
      </c>
      <c r="AA46" s="81">
        <f t="shared" si="27"/>
        <v>37.26605895520814</v>
      </c>
      <c r="AB46" s="89">
        <f t="shared" si="28"/>
        <v>45.662303201875105</v>
      </c>
      <c r="AC46" s="92">
        <f>F46+(J46*I$3)+(K46*I$4)+(L46*I$5)+(M46*I$6)+IF(EXACT("Y",S46),P46,0)+(IF(EXACT("Human",MP5!H$13),(((IF(EXACT("Y",S46),O46,0)+(J46*K$3)+(K46*K$4)+(L46*K$5)+(M46*K$6)+E46)*1.1)*IF(EXACT("Yes",MP5!H$8),1.05,1)*(0.05*C$5)),((IF(EXACT("Y",S46),O46,0)+(J46*K$3)+(K46*K$4)+(L46*K$5)+(M46*K$6)+E46)*IF(EXACT("Yes",MP5!H$8),1.05,1)*(0.05*C$5))))</f>
        <v>153</v>
      </c>
      <c r="AD46" s="89">
        <f>F46+(J46*I$3)+(K46*I$4)+(L46*I$5)+(M46*I$6)+IF(EXACT("Y",S46),P46,0)+((IF(EXACT("Human",MP5!H$13),(((IF(EXACT("Y",S46),O46,0)+(J46*K$3)+(K46*K$4)+(L46*K$5)+(M46*K$6)+E46)*1.1)*IF(EXACT("Yes",MP5!H$8),1.05,1)*(0.05*C$5)),((IF(EXACT("Y",S46),O46,0)+(J46*K$3)+(K46*K$4)+(L46*K$5)+(M46*K$6)+E46)*IF(EXACT("Yes",MP5!H$8),1.05,1)*(0.05*C$5))))*IF(EXACT("Yes",MP5!H$15),1.1,1))</f>
        <v>154.3</v>
      </c>
    </row>
    <row r="47" spans="1:30" ht="12.75">
      <c r="A47" s="51">
        <f t="shared" si="22"/>
        <v>255</v>
      </c>
      <c r="B47" s="53" t="s">
        <v>178</v>
      </c>
      <c r="C47" s="52">
        <v>21</v>
      </c>
      <c r="D47" s="51">
        <v>23</v>
      </c>
      <c r="E47" s="51">
        <v>45</v>
      </c>
      <c r="F47" s="51">
        <v>101</v>
      </c>
      <c r="G47" s="51"/>
      <c r="H47" s="51"/>
      <c r="I47" s="51"/>
      <c r="J47" s="52">
        <v>2</v>
      </c>
      <c r="K47" s="51">
        <v>1</v>
      </c>
      <c r="L47" s="51"/>
      <c r="M47" s="51"/>
      <c r="N47" s="52"/>
      <c r="O47" s="51"/>
      <c r="P47" s="51">
        <v>9</v>
      </c>
      <c r="Q47" s="51"/>
      <c r="R47" s="47">
        <f t="shared" si="29"/>
        <v>2</v>
      </c>
      <c r="S47" s="51" t="str">
        <f t="shared" si="23"/>
        <v>Y</v>
      </c>
      <c r="T47" s="52">
        <f t="shared" si="24"/>
        <v>2</v>
      </c>
      <c r="U47" s="51">
        <f t="shared" si="25"/>
        <v>28</v>
      </c>
      <c r="V47" s="51">
        <f t="shared" si="26"/>
        <v>75.075</v>
      </c>
      <c r="W47" s="92">
        <f>(ROUNDDOWN((Y47-T47)*X!B$8,2))+T47</f>
        <v>27.92</v>
      </c>
      <c r="X47" s="89">
        <f>(ROUNDDOWN((Z47-T47)*X!B$8,2))+T47</f>
        <v>33.54</v>
      </c>
      <c r="Y47" s="92">
        <f>(5*((0.001+X!H$3*SQRT(MP5!D$6+U47)*(MP5!D$5+V47))-(0.001+X!H$3*SQRT(MP5!D$6)*(MP5!D$5))))+T47</f>
        <v>88.40589765823442</v>
      </c>
      <c r="Z47" s="89">
        <f>(5*((0.001+X!H$3*SQRT(MP5!E$6+(U47*IF(EXACT("Yes",MP5!H$15),1.1,1)))*(MP5!E$5+(V47*IF(EXACT("Yes",MP5!H$15),1.1,1))))-(0.001+X!H$3*SQRT(MP5!E$6)*(MP5!E$5))))+T47</f>
        <v>107.16056908118173</v>
      </c>
      <c r="AA47" s="81">
        <f t="shared" si="27"/>
        <v>46.06576929747033</v>
      </c>
      <c r="AB47" s="89">
        <f t="shared" si="28"/>
        <v>55.62617072435452</v>
      </c>
      <c r="AC47" s="92">
        <f>F47+(J47*I$3)+(K47*I$4)+(L47*I$5)+(M47*I$6)+IF(EXACT("Y",S47),P47,0)+(IF(EXACT("Human",MP5!H$13),(((IF(EXACT("Y",S47),O47,0)+(J47*K$3)+(K47*K$4)+(L47*K$5)+(M47*K$6)+E47)*1.1)*IF(EXACT("Yes",MP5!H$8),1.05,1)*(0.05*C$5)),((IF(EXACT("Y",S47),O47,0)+(J47*K$3)+(K47*K$4)+(L47*K$5)+(M47*K$6)+E47)*IF(EXACT("Yes",MP5!H$8),1.05,1)*(0.05*C$5))))</f>
        <v>126.25</v>
      </c>
      <c r="AD47" s="89">
        <f>F47+(J47*I$3)+(K47*I$4)+(L47*I$5)+(M47*I$6)+IF(EXACT("Y",S47),P47,0)+((IF(EXACT("Human",MP5!H$13),(((IF(EXACT("Y",S47),O47,0)+(J47*K$3)+(K47*K$4)+(L47*K$5)+(M47*K$6)+E47)*1.1)*IF(EXACT("Yes",MP5!H$8),1.05,1)*(0.05*C$5)),((IF(EXACT("Y",S47),O47,0)+(J47*K$3)+(K47*K$4)+(L47*K$5)+(M47*K$6)+E47)*IF(EXACT("Yes",MP5!H$8),1.05,1)*(0.05*C$5))))*IF(EXACT("Yes",MP5!H$15),1.1,1))</f>
        <v>127.875</v>
      </c>
    </row>
    <row r="48" spans="1:30" ht="12.75">
      <c r="A48" s="51">
        <f t="shared" si="22"/>
        <v>242</v>
      </c>
      <c r="B48" s="50" t="s">
        <v>177</v>
      </c>
      <c r="C48" s="52">
        <v>51</v>
      </c>
      <c r="D48" s="51">
        <v>34</v>
      </c>
      <c r="E48" s="51"/>
      <c r="F48" s="51">
        <v>118</v>
      </c>
      <c r="G48" s="51"/>
      <c r="H48" s="51">
        <v>20</v>
      </c>
      <c r="I48" s="51"/>
      <c r="J48" s="52"/>
      <c r="K48" s="51"/>
      <c r="L48" s="51"/>
      <c r="M48" s="51"/>
      <c r="N48" s="52"/>
      <c r="O48" s="51"/>
      <c r="P48" s="51"/>
      <c r="Q48" s="51"/>
      <c r="R48" s="47">
        <f t="shared" si="29"/>
        <v>0</v>
      </c>
      <c r="S48" s="51" t="str">
        <f t="shared" si="23"/>
        <v>N</v>
      </c>
      <c r="T48" s="52">
        <f t="shared" si="24"/>
        <v>20</v>
      </c>
      <c r="U48" s="51">
        <f t="shared" si="25"/>
        <v>34</v>
      </c>
      <c r="V48" s="51">
        <f t="shared" si="26"/>
        <v>0</v>
      </c>
      <c r="W48" s="92">
        <f>(ROUNDDOWN((Y48-T48)*X!B$8,2))+T48</f>
        <v>22.86</v>
      </c>
      <c r="X48" s="89">
        <f>(ROUNDDOWN((Z48-T48)*X!B$8,2))+T48</f>
        <v>24</v>
      </c>
      <c r="Y48" s="92">
        <f>(5*((0.001+X!H$3*SQRT(MP5!D$6+U48)*(MP5!D$5+V48))-(0.001+X!H$3*SQRT(MP5!D$6)*(MP5!D$5))))+T48</f>
        <v>29.54452795874186</v>
      </c>
      <c r="Z48" s="89">
        <f>(5*((0.001+X!H$3*SQRT(MP5!E$6+(U48*IF(EXACT("Yes",MP5!H$15),1.1,1)))*(MP5!E$5+(V48*IF(EXACT("Yes",MP5!H$15),1.1,1))))-(0.001+X!H$3*SQRT(MP5!E$6)*(MP5!E$5))))+T48</f>
        <v>33.36532332070668</v>
      </c>
      <c r="AA48" s="81">
        <f t="shared" si="27"/>
        <v>24.865358387622557</v>
      </c>
      <c r="AB48" s="89">
        <f t="shared" si="28"/>
        <v>26.809596996212004</v>
      </c>
      <c r="AC48" s="92">
        <f>F48+(J48*I$3)+(K48*I$4)+(L48*I$5)+(M48*I$6)+IF(EXACT("Y",S48),P48,0)+(IF(EXACT("Human",MP5!H$13),(((IF(EXACT("Y",S48),O48,0)+(J48*K$3)+(K48*K$4)+(L48*K$5)+(M48*K$6)+E48)*1.1)*IF(EXACT("Yes",MP5!H$8),1.05,1)*(0.05*C$5)),((IF(EXACT("Y",S48),O48,0)+(J48*K$3)+(K48*K$4)+(L48*K$5)+(M48*K$6)+E48)*IF(EXACT("Yes",MP5!H$8),1.05,1)*(0.05*C$5))))</f>
        <v>118</v>
      </c>
      <c r="AD48" s="89">
        <f>F48+(J48*I$3)+(K48*I$4)+(L48*I$5)+(M48*I$6)+IF(EXACT("Y",S48),P48,0)+((IF(EXACT("Human",MP5!H$13),(((IF(EXACT("Y",S48),O48,0)+(J48*K$3)+(K48*K$4)+(L48*K$5)+(M48*K$6)+E48)*1.1)*IF(EXACT("Yes",MP5!H$8),1.05,1)*(0.05*C$5)),((IF(EXACT("Y",S48),O48,0)+(J48*K$3)+(K48*K$4)+(L48*K$5)+(M48*K$6)+E48)*IF(EXACT("Yes",MP5!H$8),1.05,1)*(0.05*C$5))))*IF(EXACT("Yes",MP5!H$15),1.1,1))</f>
        <v>118</v>
      </c>
    </row>
    <row r="49" spans="1:30" ht="12.75">
      <c r="A49" s="51">
        <f t="shared" si="22"/>
        <v>222.5</v>
      </c>
      <c r="B49" s="50" t="s">
        <v>174</v>
      </c>
      <c r="C49" s="52"/>
      <c r="D49" s="51">
        <v>20</v>
      </c>
      <c r="E49" s="51">
        <v>20</v>
      </c>
      <c r="F49" s="51">
        <v>121</v>
      </c>
      <c r="G49" s="51"/>
      <c r="H49" s="51">
        <v>10</v>
      </c>
      <c r="I49" s="51"/>
      <c r="J49" s="52">
        <v>1</v>
      </c>
      <c r="K49" s="51">
        <v>1</v>
      </c>
      <c r="L49" s="51"/>
      <c r="M49" s="51"/>
      <c r="N49" s="52">
        <v>3</v>
      </c>
      <c r="O49" s="51"/>
      <c r="P49" s="51"/>
      <c r="Q49" s="51"/>
      <c r="R49" s="47">
        <f t="shared" si="29"/>
        <v>2</v>
      </c>
      <c r="S49" s="51" t="str">
        <f t="shared" si="23"/>
        <v>Y</v>
      </c>
      <c r="T49" s="52">
        <f t="shared" si="24"/>
        <v>12</v>
      </c>
      <c r="U49" s="51">
        <f t="shared" si="25"/>
        <v>28</v>
      </c>
      <c r="V49" s="51">
        <f t="shared" si="26"/>
        <v>34.65</v>
      </c>
      <c r="W49" s="92">
        <f>(ROUNDDOWN((Y49-T49)*X!B$8,2))+T49</f>
        <v>25.23</v>
      </c>
      <c r="X49" s="89">
        <f>(ROUNDDOWN((Z49-T49)*X!B$8,2))+T49</f>
        <v>28.34</v>
      </c>
      <c r="Y49" s="92">
        <f>(5*((0.001+X!H$3*SQRT(MP5!D$6+U49)*(MP5!D$5+V49))-(0.001+X!H$3*SQRT(MP5!D$6)*(MP5!D$5))))+T49</f>
        <v>56.12482446373286</v>
      </c>
      <c r="Z49" s="89">
        <f>(5*((0.001+X!H$3*SQRT(MP5!E$6+(U49*IF(EXACT("Yes",MP5!H$15),1.1,1)))*(MP5!E$5+(V49*IF(EXACT("Yes",MP5!H$15),1.1,1))))-(0.001+X!H$3*SQRT(MP5!E$6)*(MP5!E$5))))+T49</f>
        <v>66.47889494715369</v>
      </c>
      <c r="AA49" s="81">
        <f t="shared" si="27"/>
        <v>34.498447339119856</v>
      </c>
      <c r="AB49" s="89">
        <f t="shared" si="28"/>
        <v>39.78166848414611</v>
      </c>
      <c r="AC49" s="92">
        <f>F49+(J49*I$3)+(K49*I$4)+(L49*I$5)+(M49*I$6)+IF(EXACT("Y",S49),P49,0)+(IF(EXACT("Human",MP5!H$13),(((IF(EXACT("Y",S49),O49,0)+(J49*K$3)+(K49*K$4)+(L49*K$5)+(M49*K$6)+E49)*1.1)*IF(EXACT("Yes",MP5!H$8),1.05,1)*(0.05*C$5)),((IF(EXACT("Y",S49),O49,0)+(J49*K$3)+(K49*K$4)+(L49*K$5)+(M49*K$6)+E49)*IF(EXACT("Yes",MP5!H$8),1.05,1)*(0.05*C$5))))</f>
        <v>128.5</v>
      </c>
      <c r="AD49" s="89">
        <f>F49+(J49*I$3)+(K49*I$4)+(L49*I$5)+(M49*I$6)+IF(EXACT("Y",S49),P49,0)+((IF(EXACT("Human",MP5!H$13),(((IF(EXACT("Y",S49),O49,0)+(J49*K$3)+(K49*K$4)+(L49*K$5)+(M49*K$6)+E49)*1.1)*IF(EXACT("Yes",MP5!H$8),1.05,1)*(0.05*C$5)),((IF(EXACT("Y",S49),O49,0)+(J49*K$3)+(K49*K$4)+(L49*K$5)+(M49*K$6)+E49)*IF(EXACT("Yes",MP5!H$8),1.05,1)*(0.05*C$5))))*IF(EXACT("Yes",MP5!H$15),1.1,1))</f>
        <v>129.25</v>
      </c>
    </row>
    <row r="50" spans="1:30" ht="12.75">
      <c r="A50" s="51">
        <f t="shared" si="22"/>
        <v>216</v>
      </c>
      <c r="B50" s="53" t="s">
        <v>176</v>
      </c>
      <c r="C50" s="52">
        <v>30</v>
      </c>
      <c r="D50" s="51">
        <v>32</v>
      </c>
      <c r="E50" s="51">
        <v>20</v>
      </c>
      <c r="F50" s="51">
        <v>88</v>
      </c>
      <c r="G50" s="51"/>
      <c r="H50" s="51"/>
      <c r="I50" s="51"/>
      <c r="J50" s="52">
        <v>2</v>
      </c>
      <c r="K50" s="51"/>
      <c r="L50" s="51">
        <v>1</v>
      </c>
      <c r="M50" s="51"/>
      <c r="N50" s="52">
        <v>4</v>
      </c>
      <c r="O50" s="51"/>
      <c r="P50" s="51"/>
      <c r="Q50" s="51"/>
      <c r="R50" s="47">
        <f t="shared" si="29"/>
        <v>2</v>
      </c>
      <c r="S50" s="51" t="str">
        <f t="shared" si="23"/>
        <v>Y</v>
      </c>
      <c r="T50" s="52">
        <f t="shared" si="24"/>
        <v>0</v>
      </c>
      <c r="U50" s="51">
        <f t="shared" si="25"/>
        <v>36</v>
      </c>
      <c r="V50" s="51">
        <f t="shared" si="26"/>
        <v>46.2</v>
      </c>
      <c r="W50" s="92">
        <f>(ROUNDDOWN((Y50-T50)*X!B$8,2))+T50</f>
        <v>17.63</v>
      </c>
      <c r="X50" s="89">
        <f>(ROUNDDOWN((Z50-T50)*X!B$8,2))+T50</f>
        <v>21.74</v>
      </c>
      <c r="Y50" s="92">
        <f>(5*((0.001+X!H$3*SQRT(MP5!D$6+U50)*(MP5!D$5+V50))-(0.001+X!H$3*SQRT(MP5!D$6)*(MP5!D$5))))+T50</f>
        <v>58.79986677962037</v>
      </c>
      <c r="Z50" s="89">
        <f>(5*((0.001+X!H$3*SQRT(MP5!E$6+(U50*IF(EXACT("Yes",MP5!H$15),1.1,1)))*(MP5!E$5+(V50*IF(EXACT("Yes",MP5!H$15),1.1,1))))-(0.001+X!H$3*SQRT(MP5!E$6)*(MP5!E$5))))+T50</f>
        <v>72.48548232976482</v>
      </c>
      <c r="AA50" s="81">
        <f t="shared" si="27"/>
        <v>29.980960033886113</v>
      </c>
      <c r="AB50" s="89">
        <f t="shared" si="28"/>
        <v>36.96364469892945</v>
      </c>
      <c r="AC50" s="92">
        <f>F50+(J50*I$3)+(K50*I$4)+(L50*I$5)+(M50*I$6)+IF(EXACT("Y",S50),P50,0)+(IF(EXACT("Human",MP5!H$13),(((IF(EXACT("Y",S50),O50,0)+(J50*K$3)+(K50*K$4)+(L50*K$5)+(M50*K$6)+E50)*1.1)*IF(EXACT("Yes",MP5!H$8),1.05,1)*(0.05*C$5)),((IF(EXACT("Y",S50),O50,0)+(J50*K$3)+(K50*K$4)+(L50*K$5)+(M50*K$6)+E50)*IF(EXACT("Yes",MP5!H$8),1.05,1)*(0.05*C$5))))</f>
        <v>120</v>
      </c>
      <c r="AD50" s="89">
        <f>F50+(J50*I$3)+(K50*I$4)+(L50*I$5)+(M50*I$6)+IF(EXACT("Y",S50),P50,0)+((IF(EXACT("Human",MP5!H$13),(((IF(EXACT("Y",S50),O50,0)+(J50*K$3)+(K50*K$4)+(L50*K$5)+(M50*K$6)+E50)*1.1)*IF(EXACT("Yes",MP5!H$8),1.05,1)*(0.05*C$5)),((IF(EXACT("Y",S50),O50,0)+(J50*K$3)+(K50*K$4)+(L50*K$5)+(M50*K$6)+E50)*IF(EXACT("Yes",MP5!H$8),1.05,1)*(0.05*C$5))))*IF(EXACT("Yes",MP5!H$15),1.1,1))</f>
        <v>121</v>
      </c>
    </row>
    <row r="51" spans="1:30" ht="12.75">
      <c r="A51" s="51">
        <f t="shared" si="22"/>
        <v>198.4</v>
      </c>
      <c r="B51" s="50" t="s">
        <v>175</v>
      </c>
      <c r="C51" s="52">
        <v>57</v>
      </c>
      <c r="D51" s="51">
        <v>24</v>
      </c>
      <c r="E51" s="51"/>
      <c r="F51" s="51">
        <v>53</v>
      </c>
      <c r="G51" s="51"/>
      <c r="H51" s="51">
        <v>8</v>
      </c>
      <c r="I51" s="51"/>
      <c r="J51" s="52"/>
      <c r="K51" s="51">
        <v>2</v>
      </c>
      <c r="L51" s="51">
        <v>1</v>
      </c>
      <c r="M51" s="51"/>
      <c r="N51" s="52"/>
      <c r="O51" s="51"/>
      <c r="P51" s="51"/>
      <c r="Q51" s="51"/>
      <c r="R51" s="47">
        <f t="shared" si="29"/>
        <v>2</v>
      </c>
      <c r="S51" s="51" t="str">
        <f t="shared" si="23"/>
        <v>Y</v>
      </c>
      <c r="T51" s="52">
        <f t="shared" si="24"/>
        <v>12</v>
      </c>
      <c r="U51" s="51">
        <f t="shared" si="25"/>
        <v>34</v>
      </c>
      <c r="V51" s="51">
        <f t="shared" si="26"/>
        <v>0</v>
      </c>
      <c r="W51" s="92">
        <f>(ROUNDDOWN((Y51-T51)*X!B$8,2))+T51</f>
        <v>14.86</v>
      </c>
      <c r="X51" s="89">
        <f>(ROUNDDOWN((Z51-T51)*X!B$8,2))+T51</f>
        <v>16</v>
      </c>
      <c r="Y51" s="92">
        <f>(5*((0.001+X!H$3*SQRT(MP5!D$6+U51)*(MP5!D$5+V51))-(0.001+X!H$3*SQRT(MP5!D$6)*(MP5!D$5))))+T51</f>
        <v>21.54452795874186</v>
      </c>
      <c r="Z51" s="89">
        <f>(5*((0.001+X!H$3*SQRT(MP5!E$6+(U51*IF(EXACT("Yes",MP5!H$15),1.1,1)))*(MP5!E$5+(V51*IF(EXACT("Yes",MP5!H$15),1.1,1))))-(0.001+X!H$3*SQRT(MP5!E$6)*(MP5!E$5))))+T51</f>
        <v>25.36532332070668</v>
      </c>
      <c r="AA51" s="81">
        <f t="shared" si="27"/>
        <v>16.865358387622557</v>
      </c>
      <c r="AB51" s="89">
        <f t="shared" si="28"/>
        <v>18.809596996212004</v>
      </c>
      <c r="AC51" s="92">
        <f>F51+(J51*I$3)+(K51*I$4)+(L51*I$5)+(M51*I$6)+IF(EXACT("Y",S51),P51,0)+(IF(EXACT("Human",MP5!H$13),(((IF(EXACT("Y",S51),O51,0)+(J51*K$3)+(K51*K$4)+(L51*K$5)+(M51*K$6)+E51)*1.1)*IF(EXACT("Yes",MP5!H$8),1.05,1)*(0.05*C$5)),((IF(EXACT("Y",S51),O51,0)+(J51*K$3)+(K51*K$4)+(L51*K$5)+(M51*K$6)+E51)*IF(EXACT("Yes",MP5!H$8),1.05,1)*(0.05*C$5))))</f>
        <v>75</v>
      </c>
      <c r="AD51" s="89">
        <f>F51+(J51*I$3)+(K51*I$4)+(L51*I$5)+(M51*I$6)+IF(EXACT("Y",S51),P51,0)+((IF(EXACT("Human",MP5!H$13),(((IF(EXACT("Y",S51),O51,0)+(J51*K$3)+(K51*K$4)+(L51*K$5)+(M51*K$6)+E51)*1.1)*IF(EXACT("Yes",MP5!H$8),1.05,1)*(0.05*C$5)),((IF(EXACT("Y",S51),O51,0)+(J51*K$3)+(K51*K$4)+(L51*K$5)+(M51*K$6)+E51)*IF(EXACT("Yes",MP5!H$8),1.05,1)*(0.05*C$5))))*IF(EXACT("Yes",MP5!H$15),1.1,1))</f>
        <v>75</v>
      </c>
    </row>
    <row r="52" spans="1:30" ht="12.75">
      <c r="A52" s="51">
        <f t="shared" si="22"/>
        <v>0</v>
      </c>
      <c r="B52" s="50"/>
      <c r="C52" s="49"/>
      <c r="D52" s="48"/>
      <c r="E52" s="48"/>
      <c r="F52" s="48"/>
      <c r="G52" s="48"/>
      <c r="H52" s="48"/>
      <c r="I52" s="48"/>
      <c r="J52" s="49"/>
      <c r="K52" s="48"/>
      <c r="L52" s="48"/>
      <c r="M52" s="48"/>
      <c r="N52" s="49"/>
      <c r="O52" s="48"/>
      <c r="P52" s="48"/>
      <c r="Q52" s="48"/>
      <c r="R52" s="47">
        <f t="shared" si="29"/>
        <v>0</v>
      </c>
      <c r="S52" s="51" t="str">
        <f t="shared" si="23"/>
        <v>N</v>
      </c>
      <c r="T52" s="52">
        <f t="shared" si="24"/>
        <v>0</v>
      </c>
      <c r="U52" s="51">
        <f t="shared" si="25"/>
        <v>0</v>
      </c>
      <c r="V52" s="51">
        <f t="shared" si="26"/>
        <v>0</v>
      </c>
      <c r="W52" s="92">
        <f>(ROUNDDOWN((Y52-T52)*X!B$8,2))+T52</f>
        <v>0</v>
      </c>
      <c r="X52" s="89">
        <f>(ROUNDDOWN((Z52-T52)*X!B$8,2))+T52</f>
        <v>0</v>
      </c>
      <c r="Y52" s="92">
        <f>(5*((0.001+X!H$3*SQRT(MP5!D$6+U52)*(MP5!D$5+V52))-(0.001+X!H$3*SQRT(MP5!D$6)*(MP5!D$5))))+T52</f>
        <v>0</v>
      </c>
      <c r="Z52" s="89">
        <f>(5*((0.001+X!H$3*SQRT(MP5!E$6+(U52*IF(EXACT("Yes",MP5!H$15),1.1,1)))*(MP5!E$5+(V52*IF(EXACT("Yes",MP5!H$15),1.1,1))))-(0.001+X!H$3*SQRT(MP5!E$6)*(MP5!E$5))))+T52</f>
        <v>0</v>
      </c>
      <c r="AA52" s="81">
        <f t="shared" si="27"/>
        <v>0</v>
      </c>
      <c r="AB52" s="89">
        <f t="shared" si="28"/>
        <v>0</v>
      </c>
      <c r="AC52" s="92">
        <f>F52+(J52*I$3)+(K52*I$4)+(L52*I$5)+(M52*I$6)+IF(EXACT("Y",S52),P52,0)+(IF(EXACT("Human",MP5!H$13),(((IF(EXACT("Y",S52),O52,0)+(J52*K$3)+(K52*K$4)+(L52*K$5)+(M52*K$6)+E52)*1.1)*IF(EXACT("Yes",MP5!H$8),1.05,1)*(0.05*C$5)),((IF(EXACT("Y",S52),O52,0)+(J52*K$3)+(K52*K$4)+(L52*K$5)+(M52*K$6)+E52)*IF(EXACT("Yes",MP5!H$8),1.05,1)*(0.05*C$5))))</f>
        <v>0</v>
      </c>
      <c r="AD52" s="89">
        <f>F52+(J52*I$3)+(K52*I$4)+(L52*I$5)+(M52*I$6)+IF(EXACT("Y",S52),P52,0)+((IF(EXACT("Human",MP5!H$13),(((IF(EXACT("Y",S52),O52,0)+(J52*K$3)+(K52*K$4)+(L52*K$5)+(M52*K$6)+E52)*1.1)*IF(EXACT("Yes",MP5!H$8),1.05,1)*(0.05*C$5)),((IF(EXACT("Y",S52),O52,0)+(J52*K$3)+(K52*K$4)+(L52*K$5)+(M52*K$6)+E52)*IF(EXACT("Yes",MP5!H$8),1.05,1)*(0.05*C$5))))*IF(EXACT("Yes",MP5!H$15),1.1,1))</f>
        <v>0</v>
      </c>
    </row>
    <row r="53" spans="1:30" ht="12.75">
      <c r="A53" s="51">
        <f t="shared" si="22"/>
        <v>0</v>
      </c>
      <c r="B53" s="50"/>
      <c r="C53" s="49"/>
      <c r="D53" s="48"/>
      <c r="E53" s="48"/>
      <c r="F53" s="48"/>
      <c r="G53" s="48"/>
      <c r="H53" s="48"/>
      <c r="I53" s="48"/>
      <c r="J53" s="49"/>
      <c r="K53" s="48"/>
      <c r="L53" s="48"/>
      <c r="M53" s="48"/>
      <c r="N53" s="49"/>
      <c r="O53" s="48"/>
      <c r="P53" s="48"/>
      <c r="Q53" s="48"/>
      <c r="R53" s="47">
        <f t="shared" si="29"/>
        <v>0</v>
      </c>
      <c r="S53" s="51" t="str">
        <f t="shared" si="23"/>
        <v>N</v>
      </c>
      <c r="T53" s="52">
        <f t="shared" si="24"/>
        <v>0</v>
      </c>
      <c r="U53" s="51">
        <f t="shared" si="25"/>
        <v>0</v>
      </c>
      <c r="V53" s="51">
        <f t="shared" si="26"/>
        <v>0</v>
      </c>
      <c r="W53" s="92">
        <f>(ROUNDDOWN((Y53-T53)*X!B$8,2))+T53</f>
        <v>0</v>
      </c>
      <c r="X53" s="89">
        <f>(ROUNDDOWN((Z53-T53)*X!B$8,2))+T53</f>
        <v>0</v>
      </c>
      <c r="Y53" s="92">
        <f>(5*((0.001+X!H$3*SQRT(MP5!D$6+U53)*(MP5!D$5+V53))-(0.001+X!H$3*SQRT(MP5!D$6)*(MP5!D$5))))+T53</f>
        <v>0</v>
      </c>
      <c r="Z53" s="89">
        <f>(5*((0.001+X!H$3*SQRT(MP5!E$6+(U53*IF(EXACT("Yes",MP5!H$15),1.1,1)))*(MP5!E$5+(V53*IF(EXACT("Yes",MP5!H$15),1.1,1))))-(0.001+X!H$3*SQRT(MP5!E$6)*(MP5!E$5))))+T53</f>
        <v>0</v>
      </c>
      <c r="AA53" s="81">
        <f t="shared" si="27"/>
        <v>0</v>
      </c>
      <c r="AB53" s="89">
        <f t="shared" si="28"/>
        <v>0</v>
      </c>
      <c r="AC53" s="92">
        <f>F53+(J53*I$3)+(K53*I$4)+(L53*I$5)+(M53*I$6)+IF(EXACT("Y",S53),P53,0)+(IF(EXACT("Human",MP5!H$13),(((IF(EXACT("Y",S53),O53,0)+(J53*K$3)+(K53*K$4)+(L53*K$5)+(M53*K$6)+E53)*1.1)*IF(EXACT("Yes",MP5!H$8),1.05,1)*(0.05*C$5)),((IF(EXACT("Y",S53),O53,0)+(J53*K$3)+(K53*K$4)+(L53*K$5)+(M53*K$6)+E53)*IF(EXACT("Yes",MP5!H$8),1.05,1)*(0.05*C$5))))</f>
        <v>0</v>
      </c>
      <c r="AD53" s="89">
        <f>F53+(J53*I$3)+(K53*I$4)+(L53*I$5)+(M53*I$6)+IF(EXACT("Y",S53),P53,0)+((IF(EXACT("Human",MP5!H$13),(((IF(EXACT("Y",S53),O53,0)+(J53*K$3)+(K53*K$4)+(L53*K$5)+(M53*K$6)+E53)*1.1)*IF(EXACT("Yes",MP5!H$8),1.05,1)*(0.05*C$5)),((IF(EXACT("Y",S53),O53,0)+(J53*K$3)+(K53*K$4)+(L53*K$5)+(M53*K$6)+E53)*IF(EXACT("Yes",MP5!H$8),1.05,1)*(0.05*C$5))))*IF(EXACT("Yes",MP5!H$15),1.1,1))</f>
        <v>0</v>
      </c>
    </row>
    <row r="54" spans="1:30" ht="12.75">
      <c r="A54" s="59" t="s">
        <v>77</v>
      </c>
      <c r="B54" s="63" t="s">
        <v>173</v>
      </c>
      <c r="C54" s="62" t="s">
        <v>75</v>
      </c>
      <c r="D54" s="60" t="s">
        <v>68</v>
      </c>
      <c r="E54" s="60" t="s">
        <v>67</v>
      </c>
      <c r="F54" s="60" t="s">
        <v>66</v>
      </c>
      <c r="G54" s="60" t="s">
        <v>74</v>
      </c>
      <c r="H54" s="60" t="s">
        <v>65</v>
      </c>
      <c r="I54" s="60" t="s">
        <v>73</v>
      </c>
      <c r="J54" s="61" t="s">
        <v>72</v>
      </c>
      <c r="K54" s="59" t="s">
        <v>71</v>
      </c>
      <c r="L54" s="59" t="s">
        <v>70</v>
      </c>
      <c r="M54" s="59" t="s">
        <v>69</v>
      </c>
      <c r="N54" s="61" t="s">
        <v>68</v>
      </c>
      <c r="O54" s="59" t="s">
        <v>67</v>
      </c>
      <c r="P54" s="60" t="s">
        <v>66</v>
      </c>
      <c r="Q54" s="59" t="s">
        <v>65</v>
      </c>
      <c r="R54" s="47">
        <f t="shared" si="29"/>
        <v>3</v>
      </c>
      <c r="S54" s="59" t="s">
        <v>64</v>
      </c>
      <c r="T54" s="61" t="s">
        <v>65</v>
      </c>
      <c r="U54" s="59" t="s">
        <v>68</v>
      </c>
      <c r="V54" s="59" t="s">
        <v>67</v>
      </c>
      <c r="W54" s="90" t="s">
        <v>1</v>
      </c>
      <c r="X54" s="91" t="s">
        <v>2</v>
      </c>
      <c r="Y54" s="90" t="s">
        <v>1</v>
      </c>
      <c r="Z54" s="91" t="s">
        <v>2</v>
      </c>
      <c r="AA54" s="59" t="s">
        <v>1</v>
      </c>
      <c r="AB54" s="59" t="s">
        <v>2</v>
      </c>
      <c r="AC54" s="90" t="s">
        <v>1</v>
      </c>
      <c r="AD54" s="91" t="s">
        <v>2</v>
      </c>
    </row>
    <row r="55" spans="1:30" ht="12.75">
      <c r="A55" s="51">
        <f aca="true" t="shared" si="30" ref="A55:A63">C55*W$6+D55*Z$3+E55*Y$3+F55*X$3+H55*W$3+J55*X$6+K55*Z$6+L55*Y$6+G55*W$9+I55*AH74+M55*Z$9+(IF(S55="Y",((P55*X$3)+(Q55*W$3)+(O55*Y$3)+(N55*Z$3)),0))</f>
        <v>294.8</v>
      </c>
      <c r="B55" s="50" t="s">
        <v>171</v>
      </c>
      <c r="C55" s="49">
        <v>29</v>
      </c>
      <c r="D55" s="48">
        <v>36</v>
      </c>
      <c r="E55" s="48">
        <v>42</v>
      </c>
      <c r="F55" s="48">
        <v>134</v>
      </c>
      <c r="G55" s="48"/>
      <c r="H55" s="48"/>
      <c r="I55" s="48">
        <v>25</v>
      </c>
      <c r="J55" s="49">
        <v>1</v>
      </c>
      <c r="K55" s="48">
        <v>1</v>
      </c>
      <c r="L55" s="48">
        <v>1</v>
      </c>
      <c r="M55" s="48"/>
      <c r="N55" s="49"/>
      <c r="O55" s="48">
        <v>4</v>
      </c>
      <c r="P55" s="48"/>
      <c r="Q55" s="48"/>
      <c r="R55" s="47">
        <f t="shared" si="29"/>
        <v>3</v>
      </c>
      <c r="S55" s="51" t="str">
        <f aca="true" t="shared" si="31" ref="S55:S63">IF(R55&gt;0,"Y","N")</f>
        <v>Y</v>
      </c>
      <c r="T55" s="52">
        <f aca="true" t="shared" si="32" ref="T55:T63">H55+(J55*H$3)+(K55*H$4)+(L55*H$5)+(M55*H$6)+IF(EXACT("Y",S55),Q55,0)</f>
        <v>2</v>
      </c>
      <c r="U55" s="51">
        <f aca="true" t="shared" si="33" ref="U55:U63">(D55+(J55*J$3)+(K55*J$4)+(L55*J$5)+(M55*J$6)+IF(EXACT("Y",S55),N55,0))*(1+C$6)</f>
        <v>41</v>
      </c>
      <c r="V55" s="51">
        <f aca="true" t="shared" si="34" ref="V55:V63">((((E55+(J55*K$3)+(K55*K$4)+(L55*K$5)+(M55*K$6)+IF(EXACT("Y",S55),O55,0))*IF(EXACT("Yes",C$3),1.1,1))*IF(EXACT("Yes",C$4),1.05,1)))*(1+C$6)</f>
        <v>64.68</v>
      </c>
      <c r="W55" s="92">
        <f>(ROUNDDOWN((Y55-T55)*X!B$8,2))+T55</f>
        <v>25.99</v>
      </c>
      <c r="X55" s="89">
        <f>(ROUNDDOWN((Z55-T55)*X!B$8,2))+T55</f>
        <v>31.43</v>
      </c>
      <c r="Y55" s="92">
        <f>(5*((0.001+X!H$3*SQRT(MP5!D$6+U55)*(MP5!D$5+V55))-(0.001+X!H$3*SQRT(MP5!D$6)*(MP5!D$5))))+T55</f>
        <v>81.98794118824357</v>
      </c>
      <c r="Z55" s="89">
        <f>(5*((0.001+X!H$3*SQRT(MP5!E$6+(U55*IF(EXACT("Yes",MP5!H$15),1.1,1)))*(MP5!E$5+(V55*IF(EXACT("Yes",MP5!H$15),1.1,1))))-(0.001+X!H$3*SQRT(MP5!E$6)*(MP5!E$5))))+T55</f>
        <v>100.1207804257275</v>
      </c>
      <c r="AA55" s="81">
        <f aca="true" t="shared" si="35" ref="AA55:AA63">((Y55-W55)*(1-C$7))+W55</f>
        <v>42.78938235647307</v>
      </c>
      <c r="AB55" s="89">
        <f aca="true" t="shared" si="36" ref="AB55:AB63">((Z55-X55)*(1-C$7))+X55</f>
        <v>52.03723412771825</v>
      </c>
      <c r="AC55" s="92">
        <f>F55+(J55*I$3)+(K55*I$4)+(L55*I$5)+(M55*I$6)+IF(EXACT("Y",S55),P55,0)+(IF(EXACT("Human",MP5!H$13),(((IF(EXACT("Y",S55),O55,0)+(J55*K$3)+(K55*K$4)+(L55*K$5)+(M55*K$6)+E55)*1.1)*IF(EXACT("Yes",MP5!H$8),1.05,1)*(0.05*C$5)),((IF(EXACT("Y",S55),O55,0)+(J55*K$3)+(K55*K$4)+(L55*K$5)+(M55*K$6)+E55)*IF(EXACT("Yes",MP5!H$8),1.05,1)*(0.05*C$5))))</f>
        <v>170</v>
      </c>
      <c r="AD55" s="89">
        <f>F55+(J55*I$3)+(K55*I$4)+(L55*I$5)+(M55*I$6)+IF(EXACT("Y",S55),P55,0)+((IF(EXACT("Human",MP5!H$13),(((IF(EXACT("Y",S55),O55,0)+(J55*K$3)+(K55*K$4)+(L55*K$5)+(M55*K$6)+E55)*1.1)*IF(EXACT("Yes",MP5!H$8),1.05,1)*(0.05*C$5)),((IF(EXACT("Y",S55),O55,0)+(J55*K$3)+(K55*K$4)+(L55*K$5)+(M55*K$6)+E55)*IF(EXACT("Yes",MP5!H$8),1.05,1)*(0.05*C$5))))*IF(EXACT("Yes",MP5!H$15),1.1,1))</f>
        <v>171.4</v>
      </c>
    </row>
    <row r="56" spans="1:30" ht="12.75">
      <c r="A56" s="51">
        <f t="shared" si="30"/>
        <v>292.8</v>
      </c>
      <c r="B56" s="53" t="s">
        <v>170</v>
      </c>
      <c r="C56" s="52">
        <v>45</v>
      </c>
      <c r="D56" s="51">
        <v>38</v>
      </c>
      <c r="E56" s="51"/>
      <c r="F56" s="51">
        <v>121</v>
      </c>
      <c r="G56" s="51"/>
      <c r="H56" s="51">
        <v>16</v>
      </c>
      <c r="I56" s="51"/>
      <c r="J56" s="52">
        <v>3</v>
      </c>
      <c r="K56" s="51"/>
      <c r="L56" s="51"/>
      <c r="M56" s="51"/>
      <c r="N56" s="52"/>
      <c r="O56" s="51"/>
      <c r="P56" s="51">
        <v>9</v>
      </c>
      <c r="Q56" s="51"/>
      <c r="R56" s="47">
        <f t="shared" si="29"/>
        <v>1</v>
      </c>
      <c r="S56" s="51" t="str">
        <f t="shared" si="31"/>
        <v>Y</v>
      </c>
      <c r="T56" s="52">
        <f t="shared" si="32"/>
        <v>16</v>
      </c>
      <c r="U56" s="51">
        <f t="shared" si="33"/>
        <v>38</v>
      </c>
      <c r="V56" s="51">
        <f t="shared" si="34"/>
        <v>34.65</v>
      </c>
      <c r="W56" s="92">
        <f>(ROUNDDOWN((Y56-T56)*X!B$8,2))+T56</f>
        <v>30.17</v>
      </c>
      <c r="X56" s="89">
        <f>(ROUNDDOWN((Z56-T56)*X!B$8,2))+T56</f>
        <v>33.620000000000005</v>
      </c>
      <c r="Y56" s="92">
        <f>(5*((0.001+X!H$3*SQRT(MP5!D$6+U56)*(MP5!D$5+V56))-(0.001+X!H$3*SQRT(MP5!D$6)*(MP5!D$5))))+T56</f>
        <v>63.24557258822028</v>
      </c>
      <c r="Z56" s="89">
        <f>(5*((0.001+X!H$3*SQRT(MP5!E$6+(U56*IF(EXACT("Yes",MP5!H$15),1.1,1)))*(MP5!E$5+(V56*IF(EXACT("Yes",MP5!H$15),1.1,1))))-(0.001+X!H$3*SQRT(MP5!E$6)*(MP5!E$5))))+T56</f>
        <v>74.74979482593048</v>
      </c>
      <c r="AA56" s="81">
        <f t="shared" si="35"/>
        <v>40.092671776466084</v>
      </c>
      <c r="AB56" s="89">
        <f t="shared" si="36"/>
        <v>45.95893844777915</v>
      </c>
      <c r="AC56" s="92">
        <f>F56+(J56*I$3)+(K56*I$4)+(L56*I$5)+(M56*I$6)+IF(EXACT("Y",S56),P56,0)+(IF(EXACT("Human",MP5!H$13),(((IF(EXACT("Y",S56),O56,0)+(J56*K$3)+(K56*K$4)+(L56*K$5)+(M56*K$6)+E56)*1.1)*IF(EXACT("Yes",MP5!H$8),1.05,1)*(0.05*C$5)),((IF(EXACT("Y",S56),O56,0)+(J56*K$3)+(K56*K$4)+(L56*K$5)+(M56*K$6)+E56)*IF(EXACT("Yes",MP5!H$8),1.05,1)*(0.05*C$5))))</f>
        <v>137.5</v>
      </c>
      <c r="AD56" s="89">
        <f>F56+(J56*I$3)+(K56*I$4)+(L56*I$5)+(M56*I$6)+IF(EXACT("Y",S56),P56,0)+((IF(EXACT("Human",MP5!H$13),(((IF(EXACT("Y",S56),O56,0)+(J56*K$3)+(K56*K$4)+(L56*K$5)+(M56*K$6)+E56)*1.1)*IF(EXACT("Yes",MP5!H$8),1.05,1)*(0.05*C$5)),((IF(EXACT("Y",S56),O56,0)+(J56*K$3)+(K56*K$4)+(L56*K$5)+(M56*K$6)+E56)*IF(EXACT("Yes",MP5!H$8),1.05,1)*(0.05*C$5))))*IF(EXACT("Yes",MP5!H$15),1.1,1))</f>
        <v>138.25</v>
      </c>
    </row>
    <row r="57" spans="1:30" ht="12.75">
      <c r="A57" s="51">
        <f t="shared" si="30"/>
        <v>264.1</v>
      </c>
      <c r="B57" s="53" t="s">
        <v>169</v>
      </c>
      <c r="C57" s="52">
        <v>42</v>
      </c>
      <c r="D57" s="51">
        <v>33</v>
      </c>
      <c r="E57" s="51">
        <v>34</v>
      </c>
      <c r="F57" s="51">
        <v>117</v>
      </c>
      <c r="G57" s="51"/>
      <c r="H57" s="51">
        <v>8</v>
      </c>
      <c r="I57" s="51"/>
      <c r="J57" s="52"/>
      <c r="K57" s="51">
        <v>1</v>
      </c>
      <c r="L57" s="51"/>
      <c r="M57" s="51"/>
      <c r="N57" s="52"/>
      <c r="O57" s="51"/>
      <c r="P57" s="51">
        <v>4</v>
      </c>
      <c r="Q57" s="51"/>
      <c r="R57" s="47">
        <f t="shared" si="29"/>
        <v>1</v>
      </c>
      <c r="S57" s="51" t="str">
        <f t="shared" si="31"/>
        <v>Y</v>
      </c>
      <c r="T57" s="52">
        <f t="shared" si="32"/>
        <v>10</v>
      </c>
      <c r="U57" s="51">
        <f t="shared" si="33"/>
        <v>38</v>
      </c>
      <c r="V57" s="51">
        <f t="shared" si="34"/>
        <v>39.27000000000001</v>
      </c>
      <c r="W57" s="92">
        <f>(ROUNDDOWN((Y57-T57)*X!B$8,2))+T57</f>
        <v>25.630000000000003</v>
      </c>
      <c r="X57" s="89">
        <f>(ROUNDDOWN((Z57-T57)*X!B$8,2))+T57</f>
        <v>29.37</v>
      </c>
      <c r="Y57" s="92">
        <f>(5*((0.001+X!H$3*SQRT(MP5!D$6+U57)*(MP5!D$5+V57))-(0.001+X!H$3*SQRT(MP5!D$6)*(MP5!D$5))))+T57</f>
        <v>62.12549187861981</v>
      </c>
      <c r="Z57" s="89">
        <f>(5*((0.001+X!H$3*SQRT(MP5!E$6+(U57*IF(EXACT("Yes",MP5!H$15),1.1,1)))*(MP5!E$5+(V57*IF(EXACT("Yes",MP5!H$15),1.1,1))))-(0.001+X!H$3*SQRT(MP5!E$6)*(MP5!E$5))))+T57</f>
        <v>74.5950779285458</v>
      </c>
      <c r="AA57" s="81">
        <f t="shared" si="35"/>
        <v>36.578647563585946</v>
      </c>
      <c r="AB57" s="89">
        <f t="shared" si="36"/>
        <v>42.93752337856374</v>
      </c>
      <c r="AC57" s="92">
        <f>F57+(J57*I$3)+(K57*I$4)+(L57*I$5)+(M57*I$6)+IF(EXACT("Y",S57),P57,0)+(IF(EXACT("Human",MP5!H$13),(((IF(EXACT("Y",S57),O57,0)+(J57*K$3)+(K57*K$4)+(L57*K$5)+(M57*K$6)+E57)*1.1)*IF(EXACT("Yes",MP5!H$8),1.05,1)*(0.05*C$5)),((IF(EXACT("Y",S57),O57,0)+(J57*K$3)+(K57*K$4)+(L57*K$5)+(M57*K$6)+E57)*IF(EXACT("Yes",MP5!H$8),1.05,1)*(0.05*C$5))))</f>
        <v>129.5</v>
      </c>
      <c r="AD57" s="89">
        <f>F57+(J57*I$3)+(K57*I$4)+(L57*I$5)+(M57*I$6)+IF(EXACT("Y",S57),P57,0)+((IF(EXACT("Human",MP5!H$13),(((IF(EXACT("Y",S57),O57,0)+(J57*K$3)+(K57*K$4)+(L57*K$5)+(M57*K$6)+E57)*1.1)*IF(EXACT("Yes",MP5!H$8),1.05,1)*(0.05*C$5)),((IF(EXACT("Y",S57),O57,0)+(J57*K$3)+(K57*K$4)+(L57*K$5)+(M57*K$6)+E57)*IF(EXACT("Yes",MP5!H$8),1.05,1)*(0.05*C$5))))*IF(EXACT("Yes",MP5!H$15),1.1,1))</f>
        <v>130.35</v>
      </c>
    </row>
    <row r="58" spans="1:30" ht="12.75">
      <c r="A58" s="51">
        <f t="shared" si="30"/>
        <v>248.6</v>
      </c>
      <c r="B58" s="50" t="s">
        <v>172</v>
      </c>
      <c r="C58" s="49">
        <v>24</v>
      </c>
      <c r="D58" s="48">
        <v>40</v>
      </c>
      <c r="E58" s="48">
        <v>42</v>
      </c>
      <c r="F58" s="48">
        <v>114</v>
      </c>
      <c r="G58" s="48"/>
      <c r="H58" s="48"/>
      <c r="I58" s="48"/>
      <c r="J58" s="49">
        <v>1</v>
      </c>
      <c r="K58" s="48"/>
      <c r="L58" s="48">
        <v>1</v>
      </c>
      <c r="M58" s="48"/>
      <c r="N58" s="49"/>
      <c r="O58" s="48"/>
      <c r="P58" s="48"/>
      <c r="Q58" s="48"/>
      <c r="R58" s="47">
        <f t="shared" si="29"/>
        <v>2</v>
      </c>
      <c r="S58" s="51" t="str">
        <f t="shared" si="31"/>
        <v>Y</v>
      </c>
      <c r="T58" s="52">
        <f t="shared" si="32"/>
        <v>0</v>
      </c>
      <c r="U58" s="51">
        <f t="shared" si="33"/>
        <v>40</v>
      </c>
      <c r="V58" s="51">
        <f t="shared" si="34"/>
        <v>60.06</v>
      </c>
      <c r="W58" s="92">
        <f>(ROUNDDOWN((Y58-T58)*X!B$8,2))+T58</f>
        <v>22.42</v>
      </c>
      <c r="X58" s="89">
        <f>(ROUNDDOWN((Z58-T58)*X!B$8,2))+T58</f>
        <v>27.54</v>
      </c>
      <c r="Y58" s="92">
        <f>(5*((0.001+X!H$3*SQRT(MP5!D$6+U58)*(MP5!D$5+V58))-(0.001+X!H$3*SQRT(MP5!D$6)*(MP5!D$5))))+T58</f>
        <v>74.75788542861466</v>
      </c>
      <c r="Z58" s="89">
        <f>(5*((0.001+X!H$3*SQRT(MP5!E$6+(U58*IF(EXACT("Yes",MP5!H$15),1.1,1)))*(MP5!E$5+(V58*IF(EXACT("Yes",MP5!H$15),1.1,1))))-(0.001+X!H$3*SQRT(MP5!E$6)*(MP5!E$5))))+T58</f>
        <v>91.80646851375364</v>
      </c>
      <c r="AA58" s="81">
        <f t="shared" si="35"/>
        <v>38.1213656285844</v>
      </c>
      <c r="AB58" s="89">
        <f t="shared" si="36"/>
        <v>46.81994055412609</v>
      </c>
      <c r="AC58" s="92">
        <f>F58+(J58*I$3)+(K58*I$4)+(L58*I$5)+(M58*I$6)+IF(EXACT("Y",S58),P58,0)+(IF(EXACT("Human",MP5!H$13),(((IF(EXACT("Y",S58),O58,0)+(J58*K$3)+(K58*K$4)+(L58*K$5)+(M58*K$6)+E58)*1.1)*IF(EXACT("Yes",MP5!H$8),1.05,1)*(0.05*C$5)),((IF(EXACT("Y",S58),O58,0)+(J58*K$3)+(K58*K$4)+(L58*K$5)+(M58*K$6)+E58)*IF(EXACT("Yes",MP5!H$8),1.05,1)*(0.05*C$5))))</f>
        <v>149</v>
      </c>
      <c r="AD58" s="89">
        <f>F58+(J58*I$3)+(K58*I$4)+(L58*I$5)+(M58*I$6)+IF(EXACT("Y",S58),P58,0)+((IF(EXACT("Human",MP5!H$13),(((IF(EXACT("Y",S58),O58,0)+(J58*K$3)+(K58*K$4)+(L58*K$5)+(M58*K$6)+E58)*1.1)*IF(EXACT("Yes",MP5!H$8),1.05,1)*(0.05*C$5)),((IF(EXACT("Y",S58),O58,0)+(J58*K$3)+(K58*K$4)+(L58*K$5)+(M58*K$6)+E58)*IF(EXACT("Yes",MP5!H$8),1.05,1)*(0.05*C$5))))*IF(EXACT("Yes",MP5!H$15),1.1,1))</f>
        <v>150.3</v>
      </c>
    </row>
    <row r="59" spans="1:30" ht="12.75">
      <c r="A59" s="51">
        <f t="shared" si="30"/>
        <v>246.7</v>
      </c>
      <c r="B59" s="53" t="s">
        <v>168</v>
      </c>
      <c r="C59" s="52">
        <v>37</v>
      </c>
      <c r="D59" s="51">
        <v>36</v>
      </c>
      <c r="E59" s="51">
        <v>27</v>
      </c>
      <c r="F59" s="51">
        <v>101</v>
      </c>
      <c r="G59" s="51"/>
      <c r="H59" s="51">
        <v>12</v>
      </c>
      <c r="I59" s="51"/>
      <c r="J59" s="52">
        <v>1</v>
      </c>
      <c r="K59" s="51"/>
      <c r="L59" s="51"/>
      <c r="M59" s="51"/>
      <c r="N59" s="52"/>
      <c r="O59" s="51"/>
      <c r="P59" s="51">
        <v>4</v>
      </c>
      <c r="Q59" s="51"/>
      <c r="R59" s="47">
        <f t="shared" si="29"/>
        <v>1</v>
      </c>
      <c r="S59" s="51" t="str">
        <f t="shared" si="31"/>
        <v>Y</v>
      </c>
      <c r="T59" s="52">
        <f t="shared" si="32"/>
        <v>12</v>
      </c>
      <c r="U59" s="51">
        <f t="shared" si="33"/>
        <v>36</v>
      </c>
      <c r="V59" s="51">
        <f t="shared" si="34"/>
        <v>42.73500000000001</v>
      </c>
      <c r="W59" s="92">
        <f>(ROUNDDOWN((Y59-T59)*X!B$8,2))+T59</f>
        <v>28.54</v>
      </c>
      <c r="X59" s="89">
        <f>(ROUNDDOWN((Z59-T59)*X!B$8,2))+T59</f>
        <v>32.43</v>
      </c>
      <c r="Y59" s="92">
        <f>(5*((0.001+X!H$3*SQRT(MP5!D$6+U59)*(MP5!D$5+V59))-(0.001+X!H$3*SQRT(MP5!D$6)*(MP5!D$5))))+T59</f>
        <v>67.14706866392771</v>
      </c>
      <c r="Z59" s="89">
        <f>(5*((0.001+X!H$3*SQRT(MP5!E$6+(U59*IF(EXACT("Yes",MP5!H$15),1.1,1)))*(MP5!E$5+(V59*IF(EXACT("Yes",MP5!H$15),1.1,1))))-(0.001+X!H$3*SQRT(MP5!E$6)*(MP5!E$5))))+T59</f>
        <v>80.10945478275023</v>
      </c>
      <c r="AA59" s="81">
        <f t="shared" si="35"/>
        <v>40.12212059917832</v>
      </c>
      <c r="AB59" s="89">
        <f t="shared" si="36"/>
        <v>46.73383643482507</v>
      </c>
      <c r="AC59" s="92">
        <f>F59+(J59*I$3)+(K59*I$4)+(L59*I$5)+(M59*I$6)+IF(EXACT("Y",S59),P59,0)+(IF(EXACT("Human",MP5!H$13),(((IF(EXACT("Y",S59),O59,0)+(J59*K$3)+(K59*K$4)+(L59*K$5)+(M59*K$6)+E59)*1.1)*IF(EXACT("Yes",MP5!H$8),1.05,1)*(0.05*C$5)),((IF(EXACT("Y",S59),O59,0)+(J59*K$3)+(K59*K$4)+(L59*K$5)+(M59*K$6)+E59)*IF(EXACT("Yes",MP5!H$8),1.05,1)*(0.05*C$5))))</f>
        <v>114.25</v>
      </c>
      <c r="AD59" s="89">
        <f>F59+(J59*I$3)+(K59*I$4)+(L59*I$5)+(M59*I$6)+IF(EXACT("Y",S59),P59,0)+((IF(EXACT("Human",MP5!H$13),(((IF(EXACT("Y",S59),O59,0)+(J59*K$3)+(K59*K$4)+(L59*K$5)+(M59*K$6)+E59)*1.1)*IF(EXACT("Yes",MP5!H$8),1.05,1)*(0.05*C$5)),((IF(EXACT("Y",S59),O59,0)+(J59*K$3)+(K59*K$4)+(L59*K$5)+(M59*K$6)+E59)*IF(EXACT("Yes",MP5!H$8),1.05,1)*(0.05*C$5))))*IF(EXACT("Yes",MP5!H$15),1.1,1))</f>
        <v>115.175</v>
      </c>
    </row>
    <row r="60" spans="1:30" ht="12.75">
      <c r="A60" s="51">
        <f t="shared" si="30"/>
        <v>197.5</v>
      </c>
      <c r="B60" s="53" t="s">
        <v>166</v>
      </c>
      <c r="C60" s="52">
        <v>34</v>
      </c>
      <c r="D60" s="51">
        <v>35</v>
      </c>
      <c r="E60" s="51"/>
      <c r="F60" s="48">
        <v>101</v>
      </c>
      <c r="G60" s="51">
        <v>45</v>
      </c>
      <c r="H60" s="51"/>
      <c r="I60" s="51"/>
      <c r="J60" s="52"/>
      <c r="K60" s="51"/>
      <c r="L60" s="51"/>
      <c r="M60" s="51"/>
      <c r="N60" s="52"/>
      <c r="O60" s="51"/>
      <c r="P60" s="51"/>
      <c r="Q60" s="51"/>
      <c r="R60" s="47">
        <f t="shared" si="29"/>
        <v>0</v>
      </c>
      <c r="S60" s="51" t="str">
        <f t="shared" si="31"/>
        <v>N</v>
      </c>
      <c r="T60" s="52">
        <f t="shared" si="32"/>
        <v>0</v>
      </c>
      <c r="U60" s="51">
        <f t="shared" si="33"/>
        <v>35</v>
      </c>
      <c r="V60" s="51">
        <f t="shared" si="34"/>
        <v>0</v>
      </c>
      <c r="W60" s="92">
        <f>(ROUNDDOWN((Y60-T60)*X!B$8,2))+T60</f>
        <v>2.94</v>
      </c>
      <c r="X60" s="89">
        <f>(ROUNDDOWN((Z60-T60)*X!B$8,2))+T60</f>
        <v>4.12</v>
      </c>
      <c r="Y60" s="92">
        <f>(5*((0.001+X!H$3*SQRT(MP5!D$6+U60)*(MP5!D$5+V60))-(0.001+X!H$3*SQRT(MP5!D$6)*(MP5!D$5))))+T60</f>
        <v>9.820345069548999</v>
      </c>
      <c r="Z60" s="89">
        <f>(5*((0.001+X!H$3*SQRT(MP5!E$6+(U60*IF(EXACT("Yes",MP5!H$15),1.1,1)))*(MP5!E$5+(V60*IF(EXACT("Yes",MP5!H$15),1.1,1))))-(0.001+X!H$3*SQRT(MP5!E$6)*(MP5!E$5))))+T60</f>
        <v>13.752061555485255</v>
      </c>
      <c r="AA60" s="81">
        <f t="shared" si="35"/>
        <v>5.0041035208647</v>
      </c>
      <c r="AB60" s="89">
        <f t="shared" si="36"/>
        <v>7.009618466645577</v>
      </c>
      <c r="AC60" s="92">
        <f>F60+(J60*I$3)+(K60*I$4)+(L60*I$5)+(M60*I$6)+IF(EXACT("Y",S60),P60,0)+(IF(EXACT("Human",MP5!H$13),(((IF(EXACT("Y",S60),O60,0)+(J60*K$3)+(K60*K$4)+(L60*K$5)+(M60*K$6)+E60)*1.1)*IF(EXACT("Yes",MP5!H$8),1.05,1)*(0.05*C$5)),((IF(EXACT("Y",S60),O60,0)+(J60*K$3)+(K60*K$4)+(L60*K$5)+(M60*K$6)+E60)*IF(EXACT("Yes",MP5!H$8),1.05,1)*(0.05*C$5))))</f>
        <v>101</v>
      </c>
      <c r="AD60" s="89">
        <f>F60+(J60*I$3)+(K60*I$4)+(L60*I$5)+(M60*I$6)+IF(EXACT("Y",S60),P60,0)+((IF(EXACT("Human",MP5!H$13),(((IF(EXACT("Y",S60),O60,0)+(J60*K$3)+(K60*K$4)+(L60*K$5)+(M60*K$6)+E60)*1.1)*IF(EXACT("Yes",MP5!H$8),1.05,1)*(0.05*C$5)),((IF(EXACT("Y",S60),O60,0)+(J60*K$3)+(K60*K$4)+(L60*K$5)+(M60*K$6)+E60)*IF(EXACT("Yes",MP5!H$8),1.05,1)*(0.05*C$5))))*IF(EXACT("Yes",MP5!H$15),1.1,1))</f>
        <v>101</v>
      </c>
    </row>
    <row r="61" spans="1:30" ht="12.75">
      <c r="A61" s="51">
        <f t="shared" si="30"/>
        <v>180.3</v>
      </c>
      <c r="B61" s="53" t="s">
        <v>167</v>
      </c>
      <c r="C61" s="52">
        <v>21</v>
      </c>
      <c r="D61" s="51">
        <v>21</v>
      </c>
      <c r="E61" s="51"/>
      <c r="F61" s="51">
        <v>62</v>
      </c>
      <c r="G61" s="51"/>
      <c r="H61" s="51">
        <v>11</v>
      </c>
      <c r="I61" s="51"/>
      <c r="J61" s="52">
        <v>1</v>
      </c>
      <c r="K61" s="51">
        <v>1</v>
      </c>
      <c r="L61" s="51">
        <v>1</v>
      </c>
      <c r="M61" s="51"/>
      <c r="N61" s="52">
        <v>4</v>
      </c>
      <c r="O61" s="51"/>
      <c r="P61" s="51"/>
      <c r="Q61" s="51"/>
      <c r="R61" s="47">
        <f t="shared" si="29"/>
        <v>3</v>
      </c>
      <c r="S61" s="51" t="str">
        <f t="shared" si="31"/>
        <v>Y</v>
      </c>
      <c r="T61" s="52">
        <f t="shared" si="32"/>
        <v>13</v>
      </c>
      <c r="U61" s="51">
        <f t="shared" si="33"/>
        <v>30</v>
      </c>
      <c r="V61" s="51">
        <f t="shared" si="34"/>
        <v>11.55</v>
      </c>
      <c r="W61" s="92">
        <f>(ROUNDDOWN((Y61-T61)*X!B$8,2))+T61</f>
        <v>19.16</v>
      </c>
      <c r="X61" s="89">
        <f>(ROUNDDOWN((Z61-T61)*X!B$8,2))+T61</f>
        <v>20.89</v>
      </c>
      <c r="Y61" s="92">
        <f>(5*((0.001+X!H$3*SQRT(MP5!D$6+U61)*(MP5!D$5+V61))-(0.001+X!H$3*SQRT(MP5!D$6)*(MP5!D$5))))+T61</f>
        <v>33.542840067642736</v>
      </c>
      <c r="Z61" s="89">
        <f>(5*((0.001+X!H$3*SQRT(MP5!E$6+(U61*IF(EXACT("Yes",MP5!H$15),1.1,1)))*(MP5!E$5+(V61*IF(EXACT("Yes",MP5!H$15),1.1,1))))-(0.001+X!H$3*SQRT(MP5!E$6)*(MP5!E$5))))+T61</f>
        <v>39.321958257559785</v>
      </c>
      <c r="AA61" s="81">
        <f t="shared" si="35"/>
        <v>23.474852020292822</v>
      </c>
      <c r="AB61" s="89">
        <f t="shared" si="36"/>
        <v>26.41958747726794</v>
      </c>
      <c r="AC61" s="92">
        <f>F61+(J61*I$3)+(K61*I$4)+(L61*I$5)+(M61*I$6)+IF(EXACT("Y",S61),P61,0)+(IF(EXACT("Human",MP5!H$13),(((IF(EXACT("Y",S61),O61,0)+(J61*K$3)+(K61*K$4)+(L61*K$5)+(M61*K$6)+E61)*1.1)*IF(EXACT("Yes",MP5!H$8),1.05,1)*(0.05*C$5)),((IF(EXACT("Y",S61),O61,0)+(J61*K$3)+(K61*K$4)+(L61*K$5)+(M61*K$6)+E61)*IF(EXACT("Yes",MP5!H$8),1.05,1)*(0.05*C$5))))</f>
        <v>86.5</v>
      </c>
      <c r="AD61" s="89">
        <f>F61+(J61*I$3)+(K61*I$4)+(L61*I$5)+(M61*I$6)+IF(EXACT("Y",S61),P61,0)+((IF(EXACT("Human",MP5!H$13),(((IF(EXACT("Y",S61),O61,0)+(J61*K$3)+(K61*K$4)+(L61*K$5)+(M61*K$6)+E61)*1.1)*IF(EXACT("Yes",MP5!H$8),1.05,1)*(0.05*C$5)),((IF(EXACT("Y",S61),O61,0)+(J61*K$3)+(K61*K$4)+(L61*K$5)+(M61*K$6)+E61)*IF(EXACT("Yes",MP5!H$8),1.05,1)*(0.05*C$5))))*IF(EXACT("Yes",MP5!H$15),1.1,1))</f>
        <v>86.75</v>
      </c>
    </row>
    <row r="62" spans="1:30" ht="12.75">
      <c r="A62" s="51">
        <f t="shared" si="30"/>
        <v>0</v>
      </c>
      <c r="B62" s="50"/>
      <c r="C62" s="49"/>
      <c r="D62" s="48"/>
      <c r="E62" s="48"/>
      <c r="F62" s="48"/>
      <c r="G62" s="48"/>
      <c r="H62" s="48"/>
      <c r="I62" s="48"/>
      <c r="J62" s="49"/>
      <c r="K62" s="48"/>
      <c r="L62" s="48"/>
      <c r="M62" s="48"/>
      <c r="N62" s="49"/>
      <c r="O62" s="48"/>
      <c r="P62" s="48"/>
      <c r="Q62" s="48"/>
      <c r="R62" s="47">
        <f t="shared" si="29"/>
        <v>0</v>
      </c>
      <c r="S62" s="51" t="str">
        <f t="shared" si="31"/>
        <v>N</v>
      </c>
      <c r="T62" s="52">
        <f t="shared" si="32"/>
        <v>0</v>
      </c>
      <c r="U62" s="51">
        <f t="shared" si="33"/>
        <v>0</v>
      </c>
      <c r="V62" s="51">
        <f t="shared" si="34"/>
        <v>0</v>
      </c>
      <c r="W62" s="92">
        <f>(ROUNDDOWN((Y62-T62)*X!B$8,2))+T62</f>
        <v>0</v>
      </c>
      <c r="X62" s="89">
        <f>(ROUNDDOWN((Z62-T62)*X!B$8,2))+T62</f>
        <v>0</v>
      </c>
      <c r="Y62" s="92">
        <f>(5*((0.001+X!H$3*SQRT(MP5!D$6+U62)*(MP5!D$5+V62))-(0.001+X!H$3*SQRT(MP5!D$6)*(MP5!D$5))))+T62</f>
        <v>0</v>
      </c>
      <c r="Z62" s="89">
        <f>(5*((0.001+X!H$3*SQRT(MP5!E$6+(U62*IF(EXACT("Yes",MP5!H$15),1.1,1)))*(MP5!E$5+(V62*IF(EXACT("Yes",MP5!H$15),1.1,1))))-(0.001+X!H$3*SQRT(MP5!E$6)*(MP5!E$5))))+T62</f>
        <v>0</v>
      </c>
      <c r="AA62" s="81">
        <f t="shared" si="35"/>
        <v>0</v>
      </c>
      <c r="AB62" s="89">
        <f t="shared" si="36"/>
        <v>0</v>
      </c>
      <c r="AC62" s="92">
        <f>F62+(J62*I$3)+(K62*I$4)+(L62*I$5)+(M62*I$6)+IF(EXACT("Y",S62),P62,0)+(IF(EXACT("Human",MP5!H$13),(((IF(EXACT("Y",S62),O62,0)+(J62*K$3)+(K62*K$4)+(L62*K$5)+(M62*K$6)+E62)*1.1)*IF(EXACT("Yes",MP5!H$8),1.05,1)*(0.05*C$5)),((IF(EXACT("Y",S62),O62,0)+(J62*K$3)+(K62*K$4)+(L62*K$5)+(M62*K$6)+E62)*IF(EXACT("Yes",MP5!H$8),1.05,1)*(0.05*C$5))))</f>
        <v>0</v>
      </c>
      <c r="AD62" s="89">
        <f>F62+(J62*I$3)+(K62*I$4)+(L62*I$5)+(M62*I$6)+IF(EXACT("Y",S62),P62,0)+((IF(EXACT("Human",MP5!H$13),(((IF(EXACT("Y",S62),O62,0)+(J62*K$3)+(K62*K$4)+(L62*K$5)+(M62*K$6)+E62)*1.1)*IF(EXACT("Yes",MP5!H$8),1.05,1)*(0.05*C$5)),((IF(EXACT("Y",S62),O62,0)+(J62*K$3)+(K62*K$4)+(L62*K$5)+(M62*K$6)+E62)*IF(EXACT("Yes",MP5!H$8),1.05,1)*(0.05*C$5))))*IF(EXACT("Yes",MP5!H$15),1.1,1))</f>
        <v>0</v>
      </c>
    </row>
    <row r="63" spans="1:30" ht="12.75">
      <c r="A63" s="51">
        <f t="shared" si="30"/>
        <v>0</v>
      </c>
      <c r="B63" s="50"/>
      <c r="C63" s="49"/>
      <c r="D63" s="48"/>
      <c r="E63" s="48"/>
      <c r="F63" s="48"/>
      <c r="G63" s="48"/>
      <c r="H63" s="48"/>
      <c r="I63" s="48"/>
      <c r="J63" s="49"/>
      <c r="K63" s="48"/>
      <c r="L63" s="48"/>
      <c r="M63" s="48"/>
      <c r="N63" s="49"/>
      <c r="O63" s="48"/>
      <c r="P63" s="48"/>
      <c r="Q63" s="48"/>
      <c r="R63" s="47">
        <f t="shared" si="29"/>
        <v>0</v>
      </c>
      <c r="S63" s="51" t="str">
        <f t="shared" si="31"/>
        <v>N</v>
      </c>
      <c r="T63" s="52">
        <f t="shared" si="32"/>
        <v>0</v>
      </c>
      <c r="U63" s="51">
        <f t="shared" si="33"/>
        <v>0</v>
      </c>
      <c r="V63" s="51">
        <f t="shared" si="34"/>
        <v>0</v>
      </c>
      <c r="W63" s="92">
        <f>(ROUNDDOWN((Y63-T63)*X!B$8,2))+T63</f>
        <v>0</v>
      </c>
      <c r="X63" s="89">
        <f>(ROUNDDOWN((Z63-T63)*X!B$8,2))+T63</f>
        <v>0</v>
      </c>
      <c r="Y63" s="92">
        <f>(5*((0.001+X!H$3*SQRT(MP5!D$6+U63)*(MP5!D$5+V63))-(0.001+X!H$3*SQRT(MP5!D$6)*(MP5!D$5))))+T63</f>
        <v>0</v>
      </c>
      <c r="Z63" s="89">
        <f>(5*((0.001+X!H$3*SQRT(MP5!E$6+(U63*IF(EXACT("Yes",MP5!H$15),1.1,1)))*(MP5!E$5+(V63*IF(EXACT("Yes",MP5!H$15),1.1,1))))-(0.001+X!H$3*SQRT(MP5!E$6)*(MP5!E$5))))+T63</f>
        <v>0</v>
      </c>
      <c r="AA63" s="81">
        <f t="shared" si="35"/>
        <v>0</v>
      </c>
      <c r="AB63" s="89">
        <f t="shared" si="36"/>
        <v>0</v>
      </c>
      <c r="AC63" s="92">
        <f>F63+(J63*I$3)+(K63*I$4)+(L63*I$5)+(M63*I$6)+IF(EXACT("Y",S63),P63,0)+(IF(EXACT("Human",MP5!H$13),(((IF(EXACT("Y",S63),O63,0)+(J63*K$3)+(K63*K$4)+(L63*K$5)+(M63*K$6)+E63)*1.1)*IF(EXACT("Yes",MP5!H$8),1.05,1)*(0.05*C$5)),((IF(EXACT("Y",S63),O63,0)+(J63*K$3)+(K63*K$4)+(L63*K$5)+(M63*K$6)+E63)*IF(EXACT("Yes",MP5!H$8),1.05,1)*(0.05*C$5))))</f>
        <v>0</v>
      </c>
      <c r="AD63" s="89">
        <f>F63+(J63*I$3)+(K63*I$4)+(L63*I$5)+(M63*I$6)+IF(EXACT("Y",S63),P63,0)+((IF(EXACT("Human",MP5!H$13),(((IF(EXACT("Y",S63),O63,0)+(J63*K$3)+(K63*K$4)+(L63*K$5)+(M63*K$6)+E63)*1.1)*IF(EXACT("Yes",MP5!H$8),1.05,1)*(0.05*C$5)),((IF(EXACT("Y",S63),O63,0)+(J63*K$3)+(K63*K$4)+(L63*K$5)+(M63*K$6)+E63)*IF(EXACT("Yes",MP5!H$8),1.05,1)*(0.05*C$5))))*IF(EXACT("Yes",MP5!H$15),1.1,1))</f>
        <v>0</v>
      </c>
    </row>
    <row r="64" spans="1:30" ht="12.75">
      <c r="A64" s="59" t="s">
        <v>77</v>
      </c>
      <c r="B64" s="63" t="s">
        <v>165</v>
      </c>
      <c r="C64" s="62" t="s">
        <v>75</v>
      </c>
      <c r="D64" s="60" t="s">
        <v>68</v>
      </c>
      <c r="E64" s="60" t="s">
        <v>67</v>
      </c>
      <c r="F64" s="60" t="s">
        <v>66</v>
      </c>
      <c r="G64" s="60" t="s">
        <v>74</v>
      </c>
      <c r="H64" s="60" t="s">
        <v>65</v>
      </c>
      <c r="I64" s="60" t="s">
        <v>73</v>
      </c>
      <c r="J64" s="61" t="s">
        <v>72</v>
      </c>
      <c r="K64" s="59" t="s">
        <v>71</v>
      </c>
      <c r="L64" s="59" t="s">
        <v>70</v>
      </c>
      <c r="M64" s="59" t="s">
        <v>69</v>
      </c>
      <c r="N64" s="61" t="s">
        <v>68</v>
      </c>
      <c r="O64" s="59" t="s">
        <v>67</v>
      </c>
      <c r="P64" s="60" t="s">
        <v>66</v>
      </c>
      <c r="Q64" s="59" t="s">
        <v>65</v>
      </c>
      <c r="R64" s="47">
        <f t="shared" si="29"/>
        <v>3</v>
      </c>
      <c r="S64" s="59" t="s">
        <v>64</v>
      </c>
      <c r="T64" s="61" t="s">
        <v>65</v>
      </c>
      <c r="U64" s="59" t="s">
        <v>68</v>
      </c>
      <c r="V64" s="59" t="s">
        <v>67</v>
      </c>
      <c r="W64" s="90" t="s">
        <v>1</v>
      </c>
      <c r="X64" s="91" t="s">
        <v>2</v>
      </c>
      <c r="Y64" s="90" t="s">
        <v>1</v>
      </c>
      <c r="Z64" s="91" t="s">
        <v>2</v>
      </c>
      <c r="AA64" s="59" t="s">
        <v>1</v>
      </c>
      <c r="AB64" s="59" t="s">
        <v>2</v>
      </c>
      <c r="AC64" s="90" t="s">
        <v>1</v>
      </c>
      <c r="AD64" s="91" t="s">
        <v>2</v>
      </c>
    </row>
    <row r="65" spans="1:30" ht="12.75">
      <c r="A65" s="51">
        <f aca="true" t="shared" si="37" ref="A65:A73">C65*W$6+D65*Z$3+E65*Y$3+F65*X$3+H65*W$3+J65*X$6+K65*Z$6+L65*Y$6+G65*W$9+I65*AH84+M65*Z$9+(IF(S65="Y",((P65*X$3)+(Q65*W$3)+(O65*Y$3)+(N65*Z$3)),0))</f>
        <v>249.60000000000002</v>
      </c>
      <c r="B65" s="50" t="s">
        <v>164</v>
      </c>
      <c r="C65" s="49">
        <v>33</v>
      </c>
      <c r="D65" s="48">
        <v>32</v>
      </c>
      <c r="E65" s="48">
        <v>36</v>
      </c>
      <c r="F65" s="48">
        <v>88</v>
      </c>
      <c r="G65" s="48">
        <v>27</v>
      </c>
      <c r="H65" s="48"/>
      <c r="I65" s="48"/>
      <c r="J65" s="49">
        <v>1</v>
      </c>
      <c r="K65" s="48"/>
      <c r="L65" s="48">
        <v>1</v>
      </c>
      <c r="M65" s="48"/>
      <c r="N65" s="49"/>
      <c r="O65" s="48"/>
      <c r="P65" s="48"/>
      <c r="Q65" s="48">
        <v>1</v>
      </c>
      <c r="R65" s="47">
        <f t="shared" si="29"/>
        <v>2</v>
      </c>
      <c r="S65" s="51" t="str">
        <f aca="true" t="shared" si="38" ref="S65:S73">IF(R65&gt;0,"Y","N")</f>
        <v>Y</v>
      </c>
      <c r="T65" s="52">
        <f aca="true" t="shared" si="39" ref="T65:T73">H65+(J65*H$3)+(K65*H$4)+(L65*H$5)+(M65*H$6)+IF(EXACT("Y",S65),Q65,0)</f>
        <v>1</v>
      </c>
      <c r="U65" s="51">
        <f aca="true" t="shared" si="40" ref="U65:U73">(D65+(J65*J$3)+(K65*J$4)+(L65*J$5)+(M65*J$6)+IF(EXACT("Y",S65),N65,0))*(1+C$6)</f>
        <v>32</v>
      </c>
      <c r="V65" s="51">
        <f aca="true" t="shared" si="41" ref="V65:V73">((((E65+(J65*K$3)+(K65*K$4)+(L65*K$5)+(M65*K$6)+IF(EXACT("Y",S65),O65,0))*IF(EXACT("Yes",C$3),1.1,1))*IF(EXACT("Yes",C$4),1.05,1)))*(1+C$6)</f>
        <v>53.13</v>
      </c>
      <c r="W65" s="92">
        <f>(ROUNDDOWN((Y65-T65)*X!B$8,2))+T65</f>
        <v>20.43</v>
      </c>
      <c r="X65" s="89">
        <f>(ROUNDDOWN((Z65-T65)*X!B$8,2))+T65</f>
        <v>24.83</v>
      </c>
      <c r="Y65" s="92">
        <f>(5*((0.001+X!H$3*SQRT(MP5!D$6+U65)*(MP5!D$5+V65))-(0.001+X!H$3*SQRT(MP5!D$6)*(MP5!D$5))))+T65</f>
        <v>65.78200460001304</v>
      </c>
      <c r="Z65" s="89">
        <f>(5*((0.001+X!H$3*SQRT(MP5!E$6+(U65*IF(EXACT("Yes",MP5!H$15),1.1,1)))*(MP5!E$5+(V65*IF(EXACT("Yes",MP5!H$15),1.1,1))))-(0.001+X!H$3*SQRT(MP5!E$6)*(MP5!E$5))))+T65</f>
        <v>80.44588030094437</v>
      </c>
      <c r="AA65" s="81">
        <f aca="true" t="shared" si="42" ref="AA65:AA73">((Y65-W65)*(1-C$7))+W65</f>
        <v>34.03560138000391</v>
      </c>
      <c r="AB65" s="89">
        <f aca="true" t="shared" si="43" ref="AB65:AB73">((Z65-X65)*(1-C$7))+X65</f>
        <v>41.51476409028331</v>
      </c>
      <c r="AC65" s="92">
        <f>F65+(J65*I$3)+(K65*I$4)+(L65*I$5)+(M65*I$6)+IF(EXACT("Y",S65),P65,0)+(IF(EXACT("Human",MP5!H$13),(((IF(EXACT("Y",S65),O65,0)+(J65*K$3)+(K65*K$4)+(L65*K$5)+(M65*K$6)+E65)*1.1)*IF(EXACT("Yes",MP5!H$8),1.05,1)*(0.05*C$5)),((IF(EXACT("Y",S65),O65,0)+(J65*K$3)+(K65*K$4)+(L65*K$5)+(M65*K$6)+E65)*IF(EXACT("Yes",MP5!H$8),1.05,1)*(0.05*C$5))))</f>
        <v>121.5</v>
      </c>
      <c r="AD65" s="89">
        <f>F65+(J65*I$3)+(K65*I$4)+(L65*I$5)+(M65*I$6)+IF(EXACT("Y",S65),P65,0)+((IF(EXACT("Human",MP5!H$13),(((IF(EXACT("Y",S65),O65,0)+(J65*K$3)+(K65*K$4)+(L65*K$5)+(M65*K$6)+E65)*1.1)*IF(EXACT("Yes",MP5!H$8),1.05,1)*(0.05*C$5)),((IF(EXACT("Y",S65),O65,0)+(J65*K$3)+(K65*K$4)+(L65*K$5)+(M65*K$6)+E65)*IF(EXACT("Yes",MP5!H$8),1.05,1)*(0.05*C$5))))*IF(EXACT("Yes",MP5!H$15),1.1,1))</f>
        <v>122.65</v>
      </c>
    </row>
    <row r="66" spans="1:30" ht="12.75">
      <c r="A66" s="51">
        <f t="shared" si="37"/>
        <v>235</v>
      </c>
      <c r="B66" s="50" t="s">
        <v>163</v>
      </c>
      <c r="C66" s="49">
        <v>33</v>
      </c>
      <c r="D66" s="48">
        <v>30</v>
      </c>
      <c r="E66" s="48">
        <v>37</v>
      </c>
      <c r="F66" s="48">
        <v>99</v>
      </c>
      <c r="G66" s="48"/>
      <c r="H66" s="48"/>
      <c r="I66" s="48"/>
      <c r="J66" s="49">
        <v>1</v>
      </c>
      <c r="K66" s="48"/>
      <c r="L66" s="48">
        <v>1</v>
      </c>
      <c r="M66" s="48"/>
      <c r="N66" s="49"/>
      <c r="O66" s="48">
        <v>3</v>
      </c>
      <c r="P66" s="48"/>
      <c r="Q66" s="48"/>
      <c r="R66" s="47">
        <f t="shared" si="29"/>
        <v>2</v>
      </c>
      <c r="S66" s="51" t="str">
        <f t="shared" si="38"/>
        <v>Y</v>
      </c>
      <c r="T66" s="52">
        <f t="shared" si="39"/>
        <v>0</v>
      </c>
      <c r="U66" s="51">
        <f t="shared" si="40"/>
        <v>30</v>
      </c>
      <c r="V66" s="51">
        <f t="shared" si="41"/>
        <v>57.75000000000001</v>
      </c>
      <c r="W66" s="92">
        <f>(ROUNDDOWN((Y66-T66)*X!B$8,2))+T66</f>
        <v>20.68</v>
      </c>
      <c r="X66" s="89">
        <f>(ROUNDDOWN((Z66-T66)*X!B$8,2))+T66</f>
        <v>25.3</v>
      </c>
      <c r="Y66" s="92">
        <f>(5*((0.001+X!H$3*SQRT(MP5!D$6+U66)*(MP5!D$5+V66))-(0.001+X!H$3*SQRT(MP5!D$6)*(MP5!D$5))))+T66</f>
        <v>68.96003732859896</v>
      </c>
      <c r="Z66" s="89">
        <f>(5*((0.001+X!H$3*SQRT(MP5!E$6+(U66*IF(EXACT("Yes",MP5!H$15),1.1,1)))*(MP5!E$5+(V66*IF(EXACT("Yes",MP5!H$15),1.1,1))))-(0.001+X!H$3*SQRT(MP5!E$6)*(MP5!E$5))))+T66</f>
        <v>84.35044370128693</v>
      </c>
      <c r="AA66" s="81">
        <f t="shared" si="42"/>
        <v>35.164011198579686</v>
      </c>
      <c r="AB66" s="89">
        <f t="shared" si="43"/>
        <v>43.01513311038609</v>
      </c>
      <c r="AC66" s="92">
        <f>F66+(J66*I$3)+(K66*I$4)+(L66*I$5)+(M66*I$6)+IF(EXACT("Y",S66),P66,0)+(IF(EXACT("Human",MP5!H$13),(((IF(EXACT("Y",S66),O66,0)+(J66*K$3)+(K66*K$4)+(L66*K$5)+(M66*K$6)+E66)*1.1)*IF(EXACT("Yes",MP5!H$8),1.05,1)*(0.05*C$5)),((IF(EXACT("Y",S66),O66,0)+(J66*K$3)+(K66*K$4)+(L66*K$5)+(M66*K$6)+E66)*IF(EXACT("Yes",MP5!H$8),1.05,1)*(0.05*C$5))))</f>
        <v>133.5</v>
      </c>
      <c r="AD66" s="89">
        <f>F66+(J66*I$3)+(K66*I$4)+(L66*I$5)+(M66*I$6)+IF(EXACT("Y",S66),P66,0)+((IF(EXACT("Human",MP5!H$13),(((IF(EXACT("Y",S66),O66,0)+(J66*K$3)+(K66*K$4)+(L66*K$5)+(M66*K$6)+E66)*1.1)*IF(EXACT("Yes",MP5!H$8),1.05,1)*(0.05*C$5)),((IF(EXACT("Y",S66),O66,0)+(J66*K$3)+(K66*K$4)+(L66*K$5)+(M66*K$6)+E66)*IF(EXACT("Yes",MP5!H$8),1.05,1)*(0.05*C$5))))*IF(EXACT("Yes",MP5!H$15),1.1,1))</f>
        <v>134.75</v>
      </c>
    </row>
    <row r="67" spans="1:30" ht="12.75">
      <c r="A67" s="51">
        <f t="shared" si="37"/>
        <v>210.4</v>
      </c>
      <c r="B67" s="53" t="s">
        <v>162</v>
      </c>
      <c r="C67" s="52">
        <v>39</v>
      </c>
      <c r="D67" s="51">
        <v>31</v>
      </c>
      <c r="E67" s="51">
        <v>27</v>
      </c>
      <c r="F67" s="51">
        <v>86</v>
      </c>
      <c r="G67" s="51"/>
      <c r="H67" s="51">
        <v>5</v>
      </c>
      <c r="I67" s="51"/>
      <c r="J67" s="52">
        <v>1</v>
      </c>
      <c r="K67" s="51"/>
      <c r="L67" s="51"/>
      <c r="M67" s="51"/>
      <c r="N67" s="52"/>
      <c r="O67" s="51"/>
      <c r="P67" s="51"/>
      <c r="Q67" s="51">
        <v>1</v>
      </c>
      <c r="R67" s="47">
        <f t="shared" si="29"/>
        <v>1</v>
      </c>
      <c r="S67" s="51" t="str">
        <f t="shared" si="38"/>
        <v>Y</v>
      </c>
      <c r="T67" s="52">
        <f t="shared" si="39"/>
        <v>6</v>
      </c>
      <c r="U67" s="51">
        <f t="shared" si="40"/>
        <v>31</v>
      </c>
      <c r="V67" s="51">
        <f t="shared" si="41"/>
        <v>42.73500000000001</v>
      </c>
      <c r="W67" s="92">
        <f>(ROUNDDOWN((Y67-T67)*X!B$8,2))+T67</f>
        <v>22.06</v>
      </c>
      <c r="X67" s="89">
        <f>(ROUNDDOWN((Z67-T67)*X!B$8,2))+T67</f>
        <v>25.77</v>
      </c>
      <c r="Y67" s="92">
        <f>(5*((0.001+X!H$3*SQRT(MP5!D$6+U67)*(MP5!D$5+V67))-(0.001+X!H$3*SQRT(MP5!D$6)*(MP5!D$5))))+T67</f>
        <v>59.54567499699847</v>
      </c>
      <c r="Z67" s="89">
        <f>(5*((0.001+X!H$3*SQRT(MP5!E$6+(U67*IF(EXACT("Yes",MP5!H$15),1.1,1)))*(MP5!E$5+(V67*IF(EXACT("Yes",MP5!H$15),1.1,1))))-(0.001+X!H$3*SQRT(MP5!E$6)*(MP5!E$5))))+T67</f>
        <v>71.92856128811782</v>
      </c>
      <c r="AA67" s="81">
        <f t="shared" si="42"/>
        <v>33.30570249909954</v>
      </c>
      <c r="AB67" s="89">
        <f t="shared" si="43"/>
        <v>39.61756838643535</v>
      </c>
      <c r="AC67" s="92">
        <f>F67+(J67*I$3)+(K67*I$4)+(L67*I$5)+(M67*I$6)+IF(EXACT("Y",S67),P67,0)+(IF(EXACT("Human",MP5!H$13),(((IF(EXACT("Y",S67),O67,0)+(J67*K$3)+(K67*K$4)+(L67*K$5)+(M67*K$6)+E67)*1.1)*IF(EXACT("Yes",MP5!H$8),1.05,1)*(0.05*C$5)),((IF(EXACT("Y",S67),O67,0)+(J67*K$3)+(K67*K$4)+(L67*K$5)+(M67*K$6)+E67)*IF(EXACT("Yes",MP5!H$8),1.05,1)*(0.05*C$5))))</f>
        <v>95.25</v>
      </c>
      <c r="AD67" s="89">
        <f>F67+(J67*I$3)+(K67*I$4)+(L67*I$5)+(M67*I$6)+IF(EXACT("Y",S67),P67,0)+((IF(EXACT("Human",MP5!H$13),(((IF(EXACT("Y",S67),O67,0)+(J67*K$3)+(K67*K$4)+(L67*K$5)+(M67*K$6)+E67)*1.1)*IF(EXACT("Yes",MP5!H$8),1.05,1)*(0.05*C$5)),((IF(EXACT("Y",S67),O67,0)+(J67*K$3)+(K67*K$4)+(L67*K$5)+(M67*K$6)+E67)*IF(EXACT("Yes",MP5!H$8),1.05,1)*(0.05*C$5))))*IF(EXACT("Yes",MP5!H$15),1.1,1))</f>
        <v>96.175</v>
      </c>
    </row>
    <row r="68" spans="1:30" ht="12.75">
      <c r="A68" s="51">
        <f t="shared" si="37"/>
        <v>186.10000000000002</v>
      </c>
      <c r="B68" s="53" t="s">
        <v>160</v>
      </c>
      <c r="C68" s="52">
        <v>25</v>
      </c>
      <c r="D68" s="51">
        <v>33</v>
      </c>
      <c r="E68" s="51"/>
      <c r="F68" s="51">
        <v>75</v>
      </c>
      <c r="G68" s="51"/>
      <c r="H68" s="51">
        <v>11</v>
      </c>
      <c r="I68" s="51"/>
      <c r="J68" s="52">
        <v>1</v>
      </c>
      <c r="K68" s="51"/>
      <c r="L68" s="51">
        <v>1</v>
      </c>
      <c r="M68" s="51"/>
      <c r="N68" s="52"/>
      <c r="O68" s="51"/>
      <c r="P68" s="51"/>
      <c r="Q68" s="51">
        <v>1</v>
      </c>
      <c r="R68" s="47">
        <f t="shared" si="29"/>
        <v>2</v>
      </c>
      <c r="S68" s="51" t="str">
        <f t="shared" si="38"/>
        <v>Y</v>
      </c>
      <c r="T68" s="52">
        <f t="shared" si="39"/>
        <v>12</v>
      </c>
      <c r="U68" s="51">
        <f t="shared" si="40"/>
        <v>33</v>
      </c>
      <c r="V68" s="51">
        <f t="shared" si="41"/>
        <v>11.55</v>
      </c>
      <c r="W68" s="92">
        <f>(ROUNDDOWN((Y68-T68)*X!B$8,2))+T68</f>
        <v>18.42</v>
      </c>
      <c r="X68" s="89">
        <f>(ROUNDDOWN((Z68-T68)*X!B$8,2))+T68</f>
        <v>20.25</v>
      </c>
      <c r="Y68" s="92">
        <f>(5*((0.001+X!H$3*SQRT(MP5!D$6+U68)*(MP5!D$5+V68))-(0.001+X!H$3*SQRT(MP5!D$6)*(MP5!D$5))))+T68</f>
        <v>33.40863921588277</v>
      </c>
      <c r="Z68" s="89">
        <f>(5*((0.001+X!H$3*SQRT(MP5!E$6+(U68*IF(EXACT("Yes",MP5!H$15),1.1,1)))*(MP5!E$5+(V68*IF(EXACT("Yes",MP5!H$15),1.1,1))))-(0.001+X!H$3*SQRT(MP5!E$6)*(MP5!E$5))))+T68</f>
        <v>39.52522712663648</v>
      </c>
      <c r="AA68" s="81">
        <f t="shared" si="42"/>
        <v>22.91659176476483</v>
      </c>
      <c r="AB68" s="89">
        <f t="shared" si="43"/>
        <v>26.032568137990946</v>
      </c>
      <c r="AC68" s="92">
        <f>F68+(J68*I$3)+(K68*I$4)+(L68*I$5)+(M68*I$6)+IF(EXACT("Y",S68),P68,0)+(IF(EXACT("Human",MP5!H$13),(((IF(EXACT("Y",S68),O68,0)+(J68*K$3)+(K68*K$4)+(L68*K$5)+(M68*K$6)+E68)*1.1)*IF(EXACT("Yes",MP5!H$8),1.05,1)*(0.05*C$5)),((IF(EXACT("Y",S68),O68,0)+(J68*K$3)+(K68*K$4)+(L68*K$5)+(M68*K$6)+E68)*IF(EXACT("Yes",MP5!H$8),1.05,1)*(0.05*C$5))))</f>
        <v>99.5</v>
      </c>
      <c r="AD68" s="89">
        <f>F68+(J68*I$3)+(K68*I$4)+(L68*I$5)+(M68*I$6)+IF(EXACT("Y",S68),P68,0)+((IF(EXACT("Human",MP5!H$13),(((IF(EXACT("Y",S68),O68,0)+(J68*K$3)+(K68*K$4)+(L68*K$5)+(M68*K$6)+E68)*1.1)*IF(EXACT("Yes",MP5!H$8),1.05,1)*(0.05*C$5)),((IF(EXACT("Y",S68),O68,0)+(J68*K$3)+(K68*K$4)+(L68*K$5)+(M68*K$6)+E68)*IF(EXACT("Yes",MP5!H$8),1.05,1)*(0.05*C$5))))*IF(EXACT("Yes",MP5!H$15),1.1,1))</f>
        <v>99.75</v>
      </c>
    </row>
    <row r="69" spans="1:30" ht="12.75">
      <c r="A69" s="51">
        <f t="shared" si="37"/>
        <v>182.5</v>
      </c>
      <c r="B69" s="53" t="s">
        <v>159</v>
      </c>
      <c r="C69" s="52">
        <v>21</v>
      </c>
      <c r="D69" s="51">
        <v>22</v>
      </c>
      <c r="E69" s="51">
        <v>25</v>
      </c>
      <c r="F69" s="51">
        <v>75</v>
      </c>
      <c r="G69" s="51"/>
      <c r="H69" s="51"/>
      <c r="I69" s="51"/>
      <c r="J69" s="52">
        <v>1</v>
      </c>
      <c r="K69" s="51">
        <v>1</v>
      </c>
      <c r="L69" s="51"/>
      <c r="M69" s="51"/>
      <c r="N69" s="52"/>
      <c r="O69" s="51"/>
      <c r="P69" s="51">
        <v>7</v>
      </c>
      <c r="Q69" s="51"/>
      <c r="R69" s="47">
        <f t="shared" si="29"/>
        <v>2</v>
      </c>
      <c r="S69" s="51" t="str">
        <f t="shared" si="38"/>
        <v>Y</v>
      </c>
      <c r="T69" s="52">
        <f t="shared" si="39"/>
        <v>2</v>
      </c>
      <c r="U69" s="51">
        <f t="shared" si="40"/>
        <v>27</v>
      </c>
      <c r="V69" s="51">
        <f t="shared" si="41"/>
        <v>40.425000000000004</v>
      </c>
      <c r="W69" s="92">
        <f>(ROUNDDOWN((Y69-T69)*X!B$8,2))+T69</f>
        <v>16.95</v>
      </c>
      <c r="X69" s="89">
        <f>(ROUNDDOWN((Z69-T69)*X!B$8,2))+T69</f>
        <v>20.38</v>
      </c>
      <c r="Y69" s="92">
        <f>(5*((0.001+X!H$3*SQRT(MP5!D$6+U69)*(MP5!D$5+V69))-(0.001+X!H$3*SQRT(MP5!D$6)*(MP5!D$5))))+T69</f>
        <v>51.84519638583123</v>
      </c>
      <c r="Z69" s="89">
        <f>(5*((0.001+X!H$3*SQRT(MP5!E$6+(U69*IF(EXACT("Yes",MP5!H$15),1.1,1)))*(MP5!E$5+(V69*IF(EXACT("Yes",MP5!H$15),1.1,1))))-(0.001+X!H$3*SQRT(MP5!E$6)*(MP5!E$5))))+T69</f>
        <v>63.28321907078025</v>
      </c>
      <c r="AA69" s="81">
        <f t="shared" si="42"/>
        <v>27.41855891574937</v>
      </c>
      <c r="AB69" s="89">
        <f t="shared" si="43"/>
        <v>33.250965721234074</v>
      </c>
      <c r="AC69" s="92">
        <f>F69+(J69*I$3)+(K69*I$4)+(L69*I$5)+(M69*I$6)+IF(EXACT("Y",S69),P69,0)+(IF(EXACT("Human",MP5!H$13),(((IF(EXACT("Y",S69),O69,0)+(J69*K$3)+(K69*K$4)+(L69*K$5)+(M69*K$6)+E69)*1.1)*IF(EXACT("Yes",MP5!H$8),1.05,1)*(0.05*C$5)),((IF(EXACT("Y",S69),O69,0)+(J69*K$3)+(K69*K$4)+(L69*K$5)+(M69*K$6)+E69)*IF(EXACT("Yes",MP5!H$8),1.05,1)*(0.05*C$5))))</f>
        <v>90.75</v>
      </c>
      <c r="AD69" s="89">
        <f>F69+(J69*I$3)+(K69*I$4)+(L69*I$5)+(M69*I$6)+IF(EXACT("Y",S69),P69,0)+((IF(EXACT("Human",MP5!H$13),(((IF(EXACT("Y",S69),O69,0)+(J69*K$3)+(K69*K$4)+(L69*K$5)+(M69*K$6)+E69)*1.1)*IF(EXACT("Yes",MP5!H$8),1.05,1)*(0.05*C$5)),((IF(EXACT("Y",S69),O69,0)+(J69*K$3)+(K69*K$4)+(L69*K$5)+(M69*K$6)+E69)*IF(EXACT("Yes",MP5!H$8),1.05,1)*(0.05*C$5))))*IF(EXACT("Yes",MP5!H$15),1.1,1))</f>
        <v>91.625</v>
      </c>
    </row>
    <row r="70" spans="1:30" ht="12.75">
      <c r="A70" s="51">
        <f t="shared" si="37"/>
        <v>171</v>
      </c>
      <c r="B70" s="53" t="s">
        <v>161</v>
      </c>
      <c r="C70" s="52">
        <v>26</v>
      </c>
      <c r="D70" s="51">
        <v>27</v>
      </c>
      <c r="E70" s="51">
        <v>29</v>
      </c>
      <c r="F70" s="51">
        <v>77</v>
      </c>
      <c r="G70" s="51"/>
      <c r="H70" s="51">
        <v>6</v>
      </c>
      <c r="I70" s="51"/>
      <c r="J70" s="52"/>
      <c r="K70" s="51"/>
      <c r="L70" s="51"/>
      <c r="M70" s="51"/>
      <c r="N70" s="52"/>
      <c r="O70" s="51"/>
      <c r="P70" s="51"/>
      <c r="Q70" s="51"/>
      <c r="R70" s="47">
        <f t="shared" si="29"/>
        <v>0</v>
      </c>
      <c r="S70" s="51" t="str">
        <f t="shared" si="38"/>
        <v>N</v>
      </c>
      <c r="T70" s="52">
        <f t="shared" si="39"/>
        <v>6</v>
      </c>
      <c r="U70" s="51">
        <f t="shared" si="40"/>
        <v>27</v>
      </c>
      <c r="V70" s="51">
        <f t="shared" si="41"/>
        <v>33.495000000000005</v>
      </c>
      <c r="W70" s="92">
        <f>(ROUNDDOWN((Y70-T70)*X!B$8,2))+T70</f>
        <v>18.78</v>
      </c>
      <c r="X70" s="89">
        <f>(ROUNDDOWN((Z70-T70)*X!B$8,2))+T70</f>
        <v>21.78</v>
      </c>
      <c r="Y70" s="92">
        <f>(5*((0.001+X!H$3*SQRT(MP5!D$6+U70)*(MP5!D$5+V70))-(0.001+X!H$3*SQRT(MP5!D$6)*(MP5!D$5))))+T70</f>
        <v>48.60422094843687</v>
      </c>
      <c r="Z70" s="89">
        <f>(5*((0.001+X!H$3*SQRT(MP5!E$6+(U70*IF(EXACT("Yes",MP5!H$15),1.1,1)))*(MP5!E$5+(V70*IF(EXACT("Yes",MP5!H$15),1.1,1))))-(0.001+X!H$3*SQRT(MP5!E$6)*(MP5!E$5))))+T70</f>
        <v>58.60293602740134</v>
      </c>
      <c r="AA70" s="81">
        <f t="shared" si="42"/>
        <v>27.727266284531062</v>
      </c>
      <c r="AB70" s="89">
        <f t="shared" si="43"/>
        <v>32.82688080822041</v>
      </c>
      <c r="AC70" s="92">
        <f>F70+(J70*I$3)+(K70*I$4)+(L70*I$5)+(M70*I$6)+IF(EXACT("Y",S70),P70,0)+(IF(EXACT("Human",MP5!H$13),(((IF(EXACT("Y",S70),O70,0)+(J70*K$3)+(K70*K$4)+(L70*K$5)+(M70*K$6)+E70)*1.1)*IF(EXACT("Yes",MP5!H$8),1.05,1)*(0.05*C$5)),((IF(EXACT("Y",S70),O70,0)+(J70*K$3)+(K70*K$4)+(L70*K$5)+(M70*K$6)+E70)*IF(EXACT("Yes",MP5!H$8),1.05,1)*(0.05*C$5))))</f>
        <v>84.25</v>
      </c>
      <c r="AD70" s="89">
        <f>F70+(J70*I$3)+(K70*I$4)+(L70*I$5)+(M70*I$6)+IF(EXACT("Y",S70),P70,0)+((IF(EXACT("Human",MP5!H$13),(((IF(EXACT("Y",S70),O70,0)+(J70*K$3)+(K70*K$4)+(L70*K$5)+(M70*K$6)+E70)*1.1)*IF(EXACT("Yes",MP5!H$8),1.05,1)*(0.05*C$5)),((IF(EXACT("Y",S70),O70,0)+(J70*K$3)+(K70*K$4)+(L70*K$5)+(M70*K$6)+E70)*IF(EXACT("Yes",MP5!H$8),1.05,1)*(0.05*C$5))))*IF(EXACT("Yes",MP5!H$15),1.1,1))</f>
        <v>84.975</v>
      </c>
    </row>
    <row r="71" spans="1:30" ht="12.75">
      <c r="A71" s="51">
        <f t="shared" si="37"/>
        <v>149.4</v>
      </c>
      <c r="B71" s="53" t="s">
        <v>158</v>
      </c>
      <c r="C71" s="52">
        <v>28</v>
      </c>
      <c r="D71" s="51">
        <v>26</v>
      </c>
      <c r="E71" s="51">
        <v>18</v>
      </c>
      <c r="F71" s="51">
        <v>57</v>
      </c>
      <c r="G71" s="51"/>
      <c r="H71" s="51">
        <v>10</v>
      </c>
      <c r="I71" s="51"/>
      <c r="J71" s="52"/>
      <c r="K71" s="51"/>
      <c r="L71" s="51"/>
      <c r="M71" s="51"/>
      <c r="N71" s="52"/>
      <c r="O71" s="51"/>
      <c r="P71" s="51"/>
      <c r="Q71" s="51"/>
      <c r="R71" s="47">
        <f t="shared" si="29"/>
        <v>0</v>
      </c>
      <c r="S71" s="51" t="str">
        <f t="shared" si="38"/>
        <v>N</v>
      </c>
      <c r="T71" s="52">
        <f t="shared" si="39"/>
        <v>10</v>
      </c>
      <c r="U71" s="51">
        <f t="shared" si="40"/>
        <v>26</v>
      </c>
      <c r="V71" s="51">
        <f t="shared" si="41"/>
        <v>20.790000000000003</v>
      </c>
      <c r="W71" s="92">
        <f>(ROUNDDOWN((Y71-T71)*X!B$8,2))+T71</f>
        <v>18.7</v>
      </c>
      <c r="X71" s="89">
        <f>(ROUNDDOWN((Z71-T71)*X!B$8,2))+T71</f>
        <v>20.880000000000003</v>
      </c>
      <c r="Y71" s="92">
        <f>(5*((0.001+X!H$3*SQRT(MP5!D$6+U71)*(MP5!D$5+V71))-(0.001+X!H$3*SQRT(MP5!D$6)*(MP5!D$5))))+T71</f>
        <v>39.02944380177125</v>
      </c>
      <c r="Z71" s="89">
        <f>(5*((0.001+X!H$3*SQRT(MP5!E$6+(U71*IF(EXACT("Yes",MP5!H$15),1.1,1)))*(MP5!E$5+(V71*IF(EXACT("Yes",MP5!H$15),1.1,1))))-(0.001+X!H$3*SQRT(MP5!E$6)*(MP5!E$5))))+T71</f>
        <v>46.275465212799105</v>
      </c>
      <c r="AA71" s="81">
        <f t="shared" si="42"/>
        <v>24.798833140531375</v>
      </c>
      <c r="AB71" s="89">
        <f t="shared" si="43"/>
        <v>28.498639563839735</v>
      </c>
      <c r="AC71" s="92">
        <f>F71+(J71*I$3)+(K71*I$4)+(L71*I$5)+(M71*I$6)+IF(EXACT("Y",S71),P71,0)+(IF(EXACT("Human",MP5!H$13),(((IF(EXACT("Y",S71),O71,0)+(J71*K$3)+(K71*K$4)+(L71*K$5)+(M71*K$6)+E71)*1.1)*IF(EXACT("Yes",MP5!H$8),1.05,1)*(0.05*C$5)),((IF(EXACT("Y",S71),O71,0)+(J71*K$3)+(K71*K$4)+(L71*K$5)+(M71*K$6)+E71)*IF(EXACT("Yes",MP5!H$8),1.05,1)*(0.05*C$5))))</f>
        <v>61.5</v>
      </c>
      <c r="AD71" s="89">
        <f>F71+(J71*I$3)+(K71*I$4)+(L71*I$5)+(M71*I$6)+IF(EXACT("Y",S71),P71,0)+((IF(EXACT("Human",MP5!H$13),(((IF(EXACT("Y",S71),O71,0)+(J71*K$3)+(K71*K$4)+(L71*K$5)+(M71*K$6)+E71)*1.1)*IF(EXACT("Yes",MP5!H$8),1.05,1)*(0.05*C$5)),((IF(EXACT("Y",S71),O71,0)+(J71*K$3)+(K71*K$4)+(L71*K$5)+(M71*K$6)+E71)*IF(EXACT("Yes",MP5!H$8),1.05,1)*(0.05*C$5))))*IF(EXACT("Yes",MP5!H$15),1.1,1))</f>
        <v>61.95</v>
      </c>
    </row>
    <row r="72" spans="1:30" ht="12.75">
      <c r="A72" s="51">
        <f t="shared" si="37"/>
        <v>0</v>
      </c>
      <c r="B72" s="50"/>
      <c r="C72" s="49"/>
      <c r="D72" s="48"/>
      <c r="E72" s="48"/>
      <c r="F72" s="48"/>
      <c r="G72" s="48"/>
      <c r="H72" s="48"/>
      <c r="I72" s="48"/>
      <c r="J72" s="49"/>
      <c r="K72" s="48"/>
      <c r="L72" s="48"/>
      <c r="M72" s="48"/>
      <c r="N72" s="49"/>
      <c r="O72" s="48"/>
      <c r="P72" s="48"/>
      <c r="Q72" s="48"/>
      <c r="R72" s="47">
        <f t="shared" si="29"/>
        <v>0</v>
      </c>
      <c r="S72" s="51" t="str">
        <f t="shared" si="38"/>
        <v>N</v>
      </c>
      <c r="T72" s="52">
        <f t="shared" si="39"/>
        <v>0</v>
      </c>
      <c r="U72" s="51">
        <f t="shared" si="40"/>
        <v>0</v>
      </c>
      <c r="V72" s="51">
        <f t="shared" si="41"/>
        <v>0</v>
      </c>
      <c r="W72" s="92">
        <f>(ROUNDDOWN((Y72-T72)*X!B$8,2))+T72</f>
        <v>0</v>
      </c>
      <c r="X72" s="89">
        <f>(ROUNDDOWN((Z72-T72)*X!B$8,2))+T72</f>
        <v>0</v>
      </c>
      <c r="Y72" s="92">
        <f>(5*((0.001+X!H$3*SQRT(MP5!D$6+U72)*(MP5!D$5+V72))-(0.001+X!H$3*SQRT(MP5!D$6)*(MP5!D$5))))+T72</f>
        <v>0</v>
      </c>
      <c r="Z72" s="89">
        <f>(5*((0.001+X!H$3*SQRT(MP5!E$6+(U72*IF(EXACT("Yes",MP5!H$15),1.1,1)))*(MP5!E$5+(V72*IF(EXACT("Yes",MP5!H$15),1.1,1))))-(0.001+X!H$3*SQRT(MP5!E$6)*(MP5!E$5))))+T72</f>
        <v>0</v>
      </c>
      <c r="AA72" s="81">
        <f t="shared" si="42"/>
        <v>0</v>
      </c>
      <c r="AB72" s="89">
        <f t="shared" si="43"/>
        <v>0</v>
      </c>
      <c r="AC72" s="92">
        <f>F72+(J72*I$3)+(K72*I$4)+(L72*I$5)+(M72*I$6)+IF(EXACT("Y",S72),P72,0)+(IF(EXACT("Human",MP5!H$13),(((IF(EXACT("Y",S72),O72,0)+(J72*K$3)+(K72*K$4)+(L72*K$5)+(M72*K$6)+E72)*1.1)*IF(EXACT("Yes",MP5!H$8),1.05,1)*(0.05*C$5)),((IF(EXACT("Y",S72),O72,0)+(J72*K$3)+(K72*K$4)+(L72*K$5)+(M72*K$6)+E72)*IF(EXACT("Yes",MP5!H$8),1.05,1)*(0.05*C$5))))</f>
        <v>0</v>
      </c>
      <c r="AD72" s="89">
        <f>F72+(J72*I$3)+(K72*I$4)+(L72*I$5)+(M72*I$6)+IF(EXACT("Y",S72),P72,0)+((IF(EXACT("Human",MP5!H$13),(((IF(EXACT("Y",S72),O72,0)+(J72*K$3)+(K72*K$4)+(L72*K$5)+(M72*K$6)+E72)*1.1)*IF(EXACT("Yes",MP5!H$8),1.05,1)*(0.05*C$5)),((IF(EXACT("Y",S72),O72,0)+(J72*K$3)+(K72*K$4)+(L72*K$5)+(M72*K$6)+E72)*IF(EXACT("Yes",MP5!H$8),1.05,1)*(0.05*C$5))))*IF(EXACT("Yes",MP5!H$15),1.1,1))</f>
        <v>0</v>
      </c>
    </row>
    <row r="73" spans="1:30" ht="12.75">
      <c r="A73" s="51">
        <f t="shared" si="37"/>
        <v>0</v>
      </c>
      <c r="B73" s="50"/>
      <c r="C73" s="49"/>
      <c r="D73" s="48"/>
      <c r="E73" s="48"/>
      <c r="F73" s="48"/>
      <c r="G73" s="48"/>
      <c r="H73" s="48"/>
      <c r="I73" s="48"/>
      <c r="J73" s="49"/>
      <c r="K73" s="48"/>
      <c r="L73" s="48"/>
      <c r="M73" s="48"/>
      <c r="N73" s="49"/>
      <c r="O73" s="48"/>
      <c r="P73" s="48"/>
      <c r="Q73" s="48"/>
      <c r="R73" s="47">
        <f t="shared" si="29"/>
        <v>0</v>
      </c>
      <c r="S73" s="51" t="str">
        <f t="shared" si="38"/>
        <v>N</v>
      </c>
      <c r="T73" s="52">
        <f t="shared" si="39"/>
        <v>0</v>
      </c>
      <c r="U73" s="51">
        <f t="shared" si="40"/>
        <v>0</v>
      </c>
      <c r="V73" s="51">
        <f t="shared" si="41"/>
        <v>0</v>
      </c>
      <c r="W73" s="92">
        <f>(ROUNDDOWN((Y73-T73)*X!B$8,2))+T73</f>
        <v>0</v>
      </c>
      <c r="X73" s="89">
        <f>(ROUNDDOWN((Z73-T73)*X!B$8,2))+T73</f>
        <v>0</v>
      </c>
      <c r="Y73" s="92">
        <f>(5*((0.001+X!H$3*SQRT(MP5!D$6+U73)*(MP5!D$5+V73))-(0.001+X!H$3*SQRT(MP5!D$6)*(MP5!D$5))))+T73</f>
        <v>0</v>
      </c>
      <c r="Z73" s="89">
        <f>(5*((0.001+X!H$3*SQRT(MP5!E$6+(U73*IF(EXACT("Yes",MP5!H$15),1.1,1)))*(MP5!E$5+(V73*IF(EXACT("Yes",MP5!H$15),1.1,1))))-(0.001+X!H$3*SQRT(MP5!E$6)*(MP5!E$5))))+T73</f>
        <v>0</v>
      </c>
      <c r="AA73" s="81">
        <f t="shared" si="42"/>
        <v>0</v>
      </c>
      <c r="AB73" s="89">
        <f t="shared" si="43"/>
        <v>0</v>
      </c>
      <c r="AC73" s="92">
        <f>F73+(J73*I$3)+(K73*I$4)+(L73*I$5)+(M73*I$6)+IF(EXACT("Y",S73),P73,0)+(IF(EXACT("Human",MP5!H$13),(((IF(EXACT("Y",S73),O73,0)+(J73*K$3)+(K73*K$4)+(L73*K$5)+(M73*K$6)+E73)*1.1)*IF(EXACT("Yes",MP5!H$8),1.05,1)*(0.05*C$5)),((IF(EXACT("Y",S73),O73,0)+(J73*K$3)+(K73*K$4)+(L73*K$5)+(M73*K$6)+E73)*IF(EXACT("Yes",MP5!H$8),1.05,1)*(0.05*C$5))))</f>
        <v>0</v>
      </c>
      <c r="AD73" s="89">
        <f>F73+(J73*I$3)+(K73*I$4)+(L73*I$5)+(M73*I$6)+IF(EXACT("Y",S73),P73,0)+((IF(EXACT("Human",MP5!H$13),(((IF(EXACT("Y",S73),O73,0)+(J73*K$3)+(K73*K$4)+(L73*K$5)+(M73*K$6)+E73)*1.1)*IF(EXACT("Yes",MP5!H$8),1.05,1)*(0.05*C$5)),((IF(EXACT("Y",S73),O73,0)+(J73*K$3)+(K73*K$4)+(L73*K$5)+(M73*K$6)+E73)*IF(EXACT("Yes",MP5!H$8),1.05,1)*(0.05*C$5))))*IF(EXACT("Yes",MP5!H$15),1.1,1))</f>
        <v>0</v>
      </c>
    </row>
    <row r="74" spans="1:30" ht="12.75">
      <c r="A74" s="59" t="s">
        <v>77</v>
      </c>
      <c r="B74" s="63" t="s">
        <v>157</v>
      </c>
      <c r="C74" s="62" t="s">
        <v>75</v>
      </c>
      <c r="D74" s="60" t="s">
        <v>68</v>
      </c>
      <c r="E74" s="60" t="s">
        <v>67</v>
      </c>
      <c r="F74" s="60" t="s">
        <v>66</v>
      </c>
      <c r="G74" s="60" t="s">
        <v>74</v>
      </c>
      <c r="H74" s="60" t="s">
        <v>65</v>
      </c>
      <c r="I74" s="60" t="s">
        <v>73</v>
      </c>
      <c r="J74" s="61" t="s">
        <v>72</v>
      </c>
      <c r="K74" s="59" t="s">
        <v>71</v>
      </c>
      <c r="L74" s="59" t="s">
        <v>70</v>
      </c>
      <c r="M74" s="59" t="s">
        <v>69</v>
      </c>
      <c r="N74" s="61" t="s">
        <v>68</v>
      </c>
      <c r="O74" s="59" t="s">
        <v>67</v>
      </c>
      <c r="P74" s="60" t="s">
        <v>66</v>
      </c>
      <c r="Q74" s="59" t="s">
        <v>65</v>
      </c>
      <c r="R74" s="47">
        <f t="shared" si="29"/>
        <v>3</v>
      </c>
      <c r="S74" s="59" t="s">
        <v>64</v>
      </c>
      <c r="T74" s="61" t="s">
        <v>65</v>
      </c>
      <c r="U74" s="59" t="s">
        <v>68</v>
      </c>
      <c r="V74" s="59" t="s">
        <v>67</v>
      </c>
      <c r="W74" s="90" t="s">
        <v>1</v>
      </c>
      <c r="X74" s="91" t="s">
        <v>2</v>
      </c>
      <c r="Y74" s="90" t="s">
        <v>1</v>
      </c>
      <c r="Z74" s="91" t="s">
        <v>2</v>
      </c>
      <c r="AA74" s="59" t="s">
        <v>1</v>
      </c>
      <c r="AB74" s="59" t="s">
        <v>2</v>
      </c>
      <c r="AC74" s="90" t="s">
        <v>1</v>
      </c>
      <c r="AD74" s="91" t="s">
        <v>2</v>
      </c>
    </row>
    <row r="75" spans="1:30" ht="12.75">
      <c r="A75" s="51">
        <f aca="true" t="shared" si="44" ref="A75:A82">C75*W$6+D75*Z$3+E75*Y$3+F75*X$3+H75*W$3+J75*X$6+K75*Z$6+L75*Y$6+G75*W$9+I75*AH94+M75*Z$9+(IF(S75="Y",((P75*X$3)+(Q75*W$3)+(O75*Y$3)+(N75*Z$3)),0))</f>
        <v>155</v>
      </c>
      <c r="B75" s="50" t="s">
        <v>156</v>
      </c>
      <c r="C75" s="49"/>
      <c r="D75" s="48">
        <v>22</v>
      </c>
      <c r="E75" s="48">
        <v>20</v>
      </c>
      <c r="F75" s="48">
        <v>73</v>
      </c>
      <c r="G75" s="48">
        <v>23</v>
      </c>
      <c r="H75" s="48"/>
      <c r="I75" s="48"/>
      <c r="J75" s="49">
        <v>1</v>
      </c>
      <c r="K75" s="48"/>
      <c r="L75" s="48"/>
      <c r="M75" s="48"/>
      <c r="N75" s="49"/>
      <c r="O75" s="48"/>
      <c r="P75" s="48">
        <v>4</v>
      </c>
      <c r="Q75" s="48"/>
      <c r="R75" s="47">
        <f t="shared" si="29"/>
        <v>1</v>
      </c>
      <c r="S75" s="51" t="str">
        <f aca="true" t="shared" si="45" ref="S75:S82">IF(R75&gt;0,"Y","N")</f>
        <v>Y</v>
      </c>
      <c r="T75" s="52">
        <f aca="true" t="shared" si="46" ref="T75:T82">H75+(J75*H$3)+(K75*H$4)+(L75*H$5)+(M75*H$6)+IF(EXACT("Y",S75),Q75,0)</f>
        <v>0</v>
      </c>
      <c r="U75" s="51">
        <f aca="true" t="shared" si="47" ref="U75:U82">(D75+(J75*J$3)+(K75*J$4)+(L75*J$5)+(M75*J$6)+IF(EXACT("Y",S75),N75,0))*(1+C$6)</f>
        <v>22</v>
      </c>
      <c r="V75" s="51">
        <f aca="true" t="shared" si="48" ref="V75:V82">((((E75+(J75*K$3)+(K75*K$4)+(L75*K$5)+(M75*K$6)+IF(EXACT("Y",S75),O75,0))*IF(EXACT("Yes",C$3),1.1,1))*IF(EXACT("Yes",C$4),1.05,1)))*(1+C$6)</f>
        <v>34.65</v>
      </c>
      <c r="W75" s="92">
        <f>(ROUNDDOWN((Y75-T75)*X!B$8,2))+T75</f>
        <v>12.67</v>
      </c>
      <c r="X75" s="89">
        <f>(ROUNDDOWN((Z75-T75)*X!B$8,2))+T75</f>
        <v>15.56</v>
      </c>
      <c r="Y75" s="92">
        <f>(5*((0.001+X!H$3*SQRT(MP5!D$6+U75)*(MP5!D$5+V75))-(0.001+X!H$3*SQRT(MP5!D$6)*(MP5!D$5))))+T75</f>
        <v>42.23746980420575</v>
      </c>
      <c r="Z75" s="89">
        <f>(5*((0.001+X!H$3*SQRT(MP5!E$6+(U75*IF(EXACT("Yes",MP5!H$15),1.1,1)))*(MP5!E$5+(V75*IF(EXACT("Yes",MP5!H$15),1.1,1))))-(0.001+X!H$3*SQRT(MP5!E$6)*(MP5!E$5))))+T75</f>
        <v>51.89745993380356</v>
      </c>
      <c r="AA75" s="81">
        <f aca="true" t="shared" si="49" ref="AA75:AA82">((Y75-W75)*(1-C$7))+W75</f>
        <v>21.54024094126173</v>
      </c>
      <c r="AB75" s="89">
        <f aca="true" t="shared" si="50" ref="AB75:AB82">((Z75-X75)*(1-C$7))+X75</f>
        <v>26.46123798014107</v>
      </c>
      <c r="AC75" s="92">
        <f>F75+(J75*I$3)+(K75*I$4)+(L75*I$5)+(M75*I$6)+IF(EXACT("Y",S75),P75,0)+(IF(EXACT("Human",MP5!H$13),(((IF(EXACT("Y",S75),O75,0)+(J75*K$3)+(K75*K$4)+(L75*K$5)+(M75*K$6)+E75)*1.1)*IF(EXACT("Yes",MP5!H$8),1.05,1)*(0.05*C$5)),((IF(EXACT("Y",S75),O75,0)+(J75*K$3)+(K75*K$4)+(L75*K$5)+(M75*K$6)+E75)*IF(EXACT("Yes",MP5!H$8),1.05,1)*(0.05*C$5))))</f>
        <v>84.5</v>
      </c>
      <c r="AD75" s="89">
        <f>F75+(J75*I$3)+(K75*I$4)+(L75*I$5)+(M75*I$6)+IF(EXACT("Y",S75),P75,0)+((IF(EXACT("Human",MP5!H$13),(((IF(EXACT("Y",S75),O75,0)+(J75*K$3)+(K75*K$4)+(L75*K$5)+(M75*K$6)+E75)*1.1)*IF(EXACT("Yes",MP5!H$8),1.05,1)*(0.05*C$5)),((IF(EXACT("Y",S75),O75,0)+(J75*K$3)+(K75*K$4)+(L75*K$5)+(M75*K$6)+E75)*IF(EXACT("Yes",MP5!H$8),1.05,1)*(0.05*C$5))))*IF(EXACT("Yes",MP5!H$15),1.1,1))</f>
        <v>85.25</v>
      </c>
    </row>
    <row r="76" spans="1:30" ht="12.75">
      <c r="A76" s="51">
        <f t="shared" si="44"/>
        <v>147.4</v>
      </c>
      <c r="B76" s="53" t="s">
        <v>155</v>
      </c>
      <c r="C76" s="52">
        <v>15</v>
      </c>
      <c r="D76" s="51">
        <v>20</v>
      </c>
      <c r="E76" s="51">
        <v>28</v>
      </c>
      <c r="F76" s="51">
        <v>64</v>
      </c>
      <c r="G76" s="51"/>
      <c r="H76" s="51"/>
      <c r="I76" s="51"/>
      <c r="J76" s="52">
        <v>1</v>
      </c>
      <c r="K76" s="51"/>
      <c r="L76" s="51"/>
      <c r="M76" s="51"/>
      <c r="N76" s="52"/>
      <c r="O76" s="51"/>
      <c r="P76" s="51">
        <v>4</v>
      </c>
      <c r="Q76" s="51"/>
      <c r="R76" s="47">
        <f aca="true" t="shared" si="51" ref="R76:R107">IF(AND(J76&gt;=1,L$3="Y",L$3="y"),1,0)+IF(AND(K76&gt;=1,L$4="Y",L$4="y"),1,0)+IF(AND(L76&gt;=1,L$5="Y",L$5="y"),1,0)+IF(AND(J76&gt;=1,L$3&lt;&gt;"Y",L$3&lt;&gt;"y"),-3,0)+IF(AND(K76&gt;=1,L$4&lt;&gt;"Y",L$4&lt;&gt;"y"),-3,0)+IF(AND(L76&gt;=1,L$5&lt;&gt;"Y",L$5&lt;&gt;"y"),-3,0)</f>
        <v>1</v>
      </c>
      <c r="S76" s="51" t="str">
        <f t="shared" si="45"/>
        <v>Y</v>
      </c>
      <c r="T76" s="52">
        <f t="shared" si="46"/>
        <v>0</v>
      </c>
      <c r="U76" s="51">
        <f t="shared" si="47"/>
        <v>20</v>
      </c>
      <c r="V76" s="51">
        <f t="shared" si="48"/>
        <v>43.89000000000001</v>
      </c>
      <c r="W76" s="92">
        <f>(ROUNDDOWN((Y76-T76)*X!B$8,2))+T76</f>
        <v>15.35</v>
      </c>
      <c r="X76" s="89">
        <f>(ROUNDDOWN((Z76-T76)*X!B$8,2))+T76</f>
        <v>18.75</v>
      </c>
      <c r="Y76" s="92">
        <f>(5*((0.001+X!H$3*SQRT(MP5!D$6+U76)*(MP5!D$5+V76))-(0.001+X!H$3*SQRT(MP5!D$6)*(MP5!D$5))))+T76</f>
        <v>51.19290685667103</v>
      </c>
      <c r="Z76" s="89">
        <f>(5*((0.001+X!H$3*SQRT(MP5!E$6+(U76*IF(EXACT("Yes",MP5!H$15),1.1,1)))*(MP5!E$5+(V76*IF(EXACT("Yes",MP5!H$15),1.1,1))))-(0.001+X!H$3*SQRT(MP5!E$6)*(MP5!E$5))))+T76</f>
        <v>62.53250963671171</v>
      </c>
      <c r="AA76" s="81">
        <f t="shared" si="49"/>
        <v>26.10287205700131</v>
      </c>
      <c r="AB76" s="89">
        <f t="shared" si="50"/>
        <v>31.884752891013513</v>
      </c>
      <c r="AC76" s="92">
        <f>F76+(J76*I$3)+(K76*I$4)+(L76*I$5)+(M76*I$6)+IF(EXACT("Y",S76),P76,0)+(IF(EXACT("Human",MP5!H$13),(((IF(EXACT("Y",S76),O76,0)+(J76*K$3)+(K76*K$4)+(L76*K$5)+(M76*K$6)+E76)*1.1)*IF(EXACT("Yes",MP5!H$8),1.05,1)*(0.05*C$5)),((IF(EXACT("Y",S76),O76,0)+(J76*K$3)+(K76*K$4)+(L76*K$5)+(M76*K$6)+E76)*IF(EXACT("Yes",MP5!H$8),1.05,1)*(0.05*C$5))))</f>
        <v>77.5</v>
      </c>
      <c r="AD76" s="89">
        <f>F76+(J76*I$3)+(K76*I$4)+(L76*I$5)+(M76*I$6)+IF(EXACT("Y",S76),P76,0)+((IF(EXACT("Human",MP5!H$13),(((IF(EXACT("Y",S76),O76,0)+(J76*K$3)+(K76*K$4)+(L76*K$5)+(M76*K$6)+E76)*1.1)*IF(EXACT("Yes",MP5!H$8),1.05,1)*(0.05*C$5)),((IF(EXACT("Y",S76),O76,0)+(J76*K$3)+(K76*K$4)+(L76*K$5)+(M76*K$6)+E76)*IF(EXACT("Yes",MP5!H$8),1.05,1)*(0.05*C$5))))*IF(EXACT("Yes",MP5!H$15),1.1,1))</f>
        <v>78.45</v>
      </c>
    </row>
    <row r="77" spans="1:30" ht="12.75">
      <c r="A77" s="51">
        <f t="shared" si="44"/>
        <v>132.9</v>
      </c>
      <c r="B77" s="53" t="s">
        <v>154</v>
      </c>
      <c r="C77" s="52">
        <v>24</v>
      </c>
      <c r="D77" s="51">
        <v>21</v>
      </c>
      <c r="E77" s="51">
        <v>28</v>
      </c>
      <c r="F77" s="48">
        <v>62</v>
      </c>
      <c r="G77" s="51"/>
      <c r="H77" s="51"/>
      <c r="I77" s="51"/>
      <c r="J77" s="49"/>
      <c r="K77" s="51"/>
      <c r="L77" s="51"/>
      <c r="M77" s="51"/>
      <c r="N77" s="52"/>
      <c r="O77" s="51"/>
      <c r="P77" s="51"/>
      <c r="Q77" s="48"/>
      <c r="R77" s="47">
        <f t="shared" si="51"/>
        <v>0</v>
      </c>
      <c r="S77" s="51" t="str">
        <f t="shared" si="45"/>
        <v>N</v>
      </c>
      <c r="T77" s="52">
        <f t="shared" si="46"/>
        <v>0</v>
      </c>
      <c r="U77" s="51">
        <f t="shared" si="47"/>
        <v>21</v>
      </c>
      <c r="V77" s="51">
        <f t="shared" si="48"/>
        <v>32.34</v>
      </c>
      <c r="W77" s="92">
        <f>(ROUNDDOWN((Y77-T77)*X!B$8,2))+T77</f>
        <v>11.85</v>
      </c>
      <c r="X77" s="89">
        <f>(ROUNDDOWN((Z77-T77)*X!B$8,2))+T77</f>
        <v>14.57</v>
      </c>
      <c r="Y77" s="92">
        <f>(5*((0.001+X!H$3*SQRT(MP5!D$6+U77)*(MP5!D$5+V77))-(0.001+X!H$3*SQRT(MP5!D$6)*(MP5!D$5))))+T77</f>
        <v>39.52261443854798</v>
      </c>
      <c r="Z77" s="89">
        <f>(5*((0.001+X!H$3*SQRT(MP5!E$6+(U77*IF(EXACT("Yes",MP5!H$15),1.1,1)))*(MP5!E$5+(V77*IF(EXACT("Yes",MP5!H$15),1.1,1))))-(0.001+X!H$3*SQRT(MP5!E$6)*(MP5!E$5))))+T77</f>
        <v>48.58845344612547</v>
      </c>
      <c r="AA77" s="81">
        <f t="shared" si="49"/>
        <v>20.151784331564393</v>
      </c>
      <c r="AB77" s="89">
        <f t="shared" si="50"/>
        <v>24.775536033837643</v>
      </c>
      <c r="AC77" s="92">
        <f>F77+(J77*I$3)+(K77*I$4)+(L77*I$5)+(M77*I$6)+IF(EXACT("Y",S77),P77,0)+(IF(EXACT("Human",MP5!H$13),(((IF(EXACT("Y",S77),O77,0)+(J77*K$3)+(K77*K$4)+(L77*K$5)+(M77*K$6)+E77)*1.1)*IF(EXACT("Yes",MP5!H$8),1.05,1)*(0.05*C$5)),((IF(EXACT("Y",S77),O77,0)+(J77*K$3)+(K77*K$4)+(L77*K$5)+(M77*K$6)+E77)*IF(EXACT("Yes",MP5!H$8),1.05,1)*(0.05*C$5))))</f>
        <v>69</v>
      </c>
      <c r="AD77" s="89">
        <f>F77+(J77*I$3)+(K77*I$4)+(L77*I$5)+(M77*I$6)+IF(EXACT("Y",S77),P77,0)+((IF(EXACT("Human",MP5!H$13),(((IF(EXACT("Y",S77),O77,0)+(J77*K$3)+(K77*K$4)+(L77*K$5)+(M77*K$6)+E77)*1.1)*IF(EXACT("Yes",MP5!H$8),1.05,1)*(0.05*C$5)),((IF(EXACT("Y",S77),O77,0)+(J77*K$3)+(K77*K$4)+(L77*K$5)+(M77*K$6)+E77)*IF(EXACT("Yes",MP5!H$8),1.05,1)*(0.05*C$5))))*IF(EXACT("Yes",MP5!H$15),1.1,1))</f>
        <v>69.7</v>
      </c>
    </row>
    <row r="78" spans="1:30" ht="12.75">
      <c r="A78" s="51">
        <f t="shared" si="44"/>
        <v>127</v>
      </c>
      <c r="B78" s="53" t="s">
        <v>151</v>
      </c>
      <c r="C78" s="52">
        <v>24</v>
      </c>
      <c r="D78" s="51">
        <v>22</v>
      </c>
      <c r="E78" s="51"/>
      <c r="F78" s="48">
        <v>64</v>
      </c>
      <c r="G78" s="51">
        <v>28</v>
      </c>
      <c r="H78" s="51"/>
      <c r="I78" s="51"/>
      <c r="J78" s="49"/>
      <c r="K78" s="51"/>
      <c r="L78" s="51"/>
      <c r="M78" s="51"/>
      <c r="N78" s="52"/>
      <c r="O78" s="51"/>
      <c r="P78" s="51"/>
      <c r="Q78" s="48"/>
      <c r="R78" s="47">
        <f t="shared" si="51"/>
        <v>0</v>
      </c>
      <c r="S78" s="51" t="str">
        <f t="shared" si="45"/>
        <v>N</v>
      </c>
      <c r="T78" s="52">
        <f t="shared" si="46"/>
        <v>0</v>
      </c>
      <c r="U78" s="51">
        <f t="shared" si="47"/>
        <v>22</v>
      </c>
      <c r="V78" s="51">
        <f t="shared" si="48"/>
        <v>0</v>
      </c>
      <c r="W78" s="92">
        <f>(ROUNDDOWN((Y78-T78)*X!B$8,2))+T78</f>
        <v>1.86</v>
      </c>
      <c r="X78" s="89">
        <f>(ROUNDDOWN((Z78-T78)*X!B$8,2))+T78</f>
        <v>2.6</v>
      </c>
      <c r="Y78" s="92">
        <f>(5*((0.001+X!H$3*SQRT(MP5!D$6+U78)*(MP5!D$5+V78))-(0.001+X!H$3*SQRT(MP5!D$6)*(MP5!D$5))))+T78</f>
        <v>6.213347002444074</v>
      </c>
      <c r="Z78" s="89">
        <f>(5*((0.001+X!H$3*SQRT(MP5!E$6+(U78*IF(EXACT("Yes",MP5!H$15),1.1,1)))*(MP5!E$5+(V78*IF(EXACT("Yes",MP5!H$15),1.1,1))))-(0.001+X!H$3*SQRT(MP5!E$6)*(MP5!E$5))))+T78</f>
        <v>8.696699583634953</v>
      </c>
      <c r="AA78" s="81">
        <f t="shared" si="49"/>
        <v>3.1660041007332227</v>
      </c>
      <c r="AB78" s="89">
        <f t="shared" si="50"/>
        <v>4.429009875090486</v>
      </c>
      <c r="AC78" s="92">
        <f>F78+(J78*I$3)+(K78*I$4)+(L78*I$5)+(M78*I$6)+IF(EXACT("Y",S78),P78,0)+(IF(EXACT("Human",MP5!H$13),(((IF(EXACT("Y",S78),O78,0)+(J78*K$3)+(K78*K$4)+(L78*K$5)+(M78*K$6)+E78)*1.1)*IF(EXACT("Yes",MP5!H$8),1.05,1)*(0.05*C$5)),((IF(EXACT("Y",S78),O78,0)+(J78*K$3)+(K78*K$4)+(L78*K$5)+(M78*K$6)+E78)*IF(EXACT("Yes",MP5!H$8),1.05,1)*(0.05*C$5))))</f>
        <v>64</v>
      </c>
      <c r="AD78" s="89">
        <f>F78+(J78*I$3)+(K78*I$4)+(L78*I$5)+(M78*I$6)+IF(EXACT("Y",S78),P78,0)+((IF(EXACT("Human",MP5!H$13),(((IF(EXACT("Y",S78),O78,0)+(J78*K$3)+(K78*K$4)+(L78*K$5)+(M78*K$6)+E78)*1.1)*IF(EXACT("Yes",MP5!H$8),1.05,1)*(0.05*C$5)),((IF(EXACT("Y",S78),O78,0)+(J78*K$3)+(K78*K$4)+(L78*K$5)+(M78*K$6)+E78)*IF(EXACT("Yes",MP5!H$8),1.05,1)*(0.05*C$5))))*IF(EXACT("Yes",MP5!H$15),1.1,1))</f>
        <v>64</v>
      </c>
    </row>
    <row r="79" spans="1:30" ht="12.75">
      <c r="A79" s="51">
        <f t="shared" si="44"/>
        <v>109.1</v>
      </c>
      <c r="B79" s="53" t="s">
        <v>153</v>
      </c>
      <c r="C79" s="52">
        <v>24</v>
      </c>
      <c r="D79" s="51">
        <v>25</v>
      </c>
      <c r="E79" s="51"/>
      <c r="F79" s="51">
        <v>53</v>
      </c>
      <c r="G79" s="51"/>
      <c r="H79" s="51">
        <v>7</v>
      </c>
      <c r="I79" s="51"/>
      <c r="J79" s="52"/>
      <c r="K79" s="51"/>
      <c r="L79" s="51"/>
      <c r="M79" s="51"/>
      <c r="N79" s="52"/>
      <c r="O79" s="51"/>
      <c r="P79" s="51"/>
      <c r="Q79" s="51"/>
      <c r="R79" s="47">
        <f t="shared" si="51"/>
        <v>0</v>
      </c>
      <c r="S79" s="51" t="str">
        <f t="shared" si="45"/>
        <v>N</v>
      </c>
      <c r="T79" s="52">
        <f t="shared" si="46"/>
        <v>7</v>
      </c>
      <c r="U79" s="51">
        <f t="shared" si="47"/>
        <v>25</v>
      </c>
      <c r="V79" s="51">
        <f t="shared" si="48"/>
        <v>0</v>
      </c>
      <c r="W79" s="92">
        <f>(ROUNDDOWN((Y79-T79)*X!B$8,2))+T79</f>
        <v>9.11</v>
      </c>
      <c r="X79" s="89">
        <f>(ROUNDDOWN((Z79-T79)*X!B$8,2))+T79</f>
        <v>9.96</v>
      </c>
      <c r="Y79" s="92">
        <f>(5*((0.001+X!H$3*SQRT(MP5!D$6+U79)*(MP5!D$5+V79))-(0.001+X!H$3*SQRT(MP5!D$6)*(MP5!D$5))))+T79</f>
        <v>14.049878719230378</v>
      </c>
      <c r="Z79" s="89">
        <f>(5*((0.001+X!H$3*SQRT(MP5!E$6+(U79*IF(EXACT("Yes",MP5!H$15),1.1,1)))*(MP5!E$5+(V79*IF(EXACT("Yes",MP5!H$15),1.1,1))))-(0.001+X!H$3*SQRT(MP5!E$6)*(MP5!E$5))))+T79</f>
        <v>16.868705316839055</v>
      </c>
      <c r="AA79" s="81">
        <f t="shared" si="49"/>
        <v>10.591963615769114</v>
      </c>
      <c r="AB79" s="89">
        <f t="shared" si="50"/>
        <v>12.032611595051717</v>
      </c>
      <c r="AC79" s="92">
        <f>F79+(J79*I$3)+(K79*I$4)+(L79*I$5)+(M79*I$6)+IF(EXACT("Y",S79),P79,0)+(IF(EXACT("Human",MP5!H$13),(((IF(EXACT("Y",S79),O79,0)+(J79*K$3)+(K79*K$4)+(L79*K$5)+(M79*K$6)+E79)*1.1)*IF(EXACT("Yes",MP5!H$8),1.05,1)*(0.05*C$5)),((IF(EXACT("Y",S79),O79,0)+(J79*K$3)+(K79*K$4)+(L79*K$5)+(M79*K$6)+E79)*IF(EXACT("Yes",MP5!H$8),1.05,1)*(0.05*C$5))))</f>
        <v>53</v>
      </c>
      <c r="AD79" s="89">
        <f>F79+(J79*I$3)+(K79*I$4)+(L79*I$5)+(M79*I$6)+IF(EXACT("Y",S79),P79,0)+((IF(EXACT("Human",MP5!H$13),(((IF(EXACT("Y",S79),O79,0)+(J79*K$3)+(K79*K$4)+(L79*K$5)+(M79*K$6)+E79)*1.1)*IF(EXACT("Yes",MP5!H$8),1.05,1)*(0.05*C$5)),((IF(EXACT("Y",S79),O79,0)+(J79*K$3)+(K79*K$4)+(L79*K$5)+(M79*K$6)+E79)*IF(EXACT("Yes",MP5!H$8),1.05,1)*(0.05*C$5))))*IF(EXACT("Yes",MP5!H$15),1.1,1))</f>
        <v>53</v>
      </c>
    </row>
    <row r="80" spans="1:30" ht="12.75">
      <c r="A80" s="51">
        <f t="shared" si="44"/>
        <v>103</v>
      </c>
      <c r="B80" s="53" t="s">
        <v>152</v>
      </c>
      <c r="C80" s="52">
        <v>22</v>
      </c>
      <c r="D80" s="51">
        <v>18</v>
      </c>
      <c r="E80" s="51">
        <v>20</v>
      </c>
      <c r="F80" s="48">
        <v>46</v>
      </c>
      <c r="G80" s="51"/>
      <c r="H80" s="51"/>
      <c r="I80" s="51"/>
      <c r="J80" s="49"/>
      <c r="K80" s="51"/>
      <c r="L80" s="51"/>
      <c r="M80" s="51"/>
      <c r="N80" s="52"/>
      <c r="O80" s="51"/>
      <c r="P80" s="51"/>
      <c r="Q80" s="48"/>
      <c r="R80" s="47">
        <f t="shared" si="51"/>
        <v>0</v>
      </c>
      <c r="S80" s="51" t="str">
        <f t="shared" si="45"/>
        <v>N</v>
      </c>
      <c r="T80" s="52">
        <f t="shared" si="46"/>
        <v>0</v>
      </c>
      <c r="U80" s="51">
        <f t="shared" si="47"/>
        <v>18</v>
      </c>
      <c r="V80" s="51">
        <f t="shared" si="48"/>
        <v>23.1</v>
      </c>
      <c r="W80" s="92">
        <f>(ROUNDDOWN((Y80-T80)*X!B$8,2))+T80</f>
        <v>8.7</v>
      </c>
      <c r="X80" s="89">
        <f>(ROUNDDOWN((Z80-T80)*X!B$8,2))+T80</f>
        <v>10.74</v>
      </c>
      <c r="Y80" s="92">
        <f>(5*((0.001+X!H$3*SQRT(MP5!D$6+U80)*(MP5!D$5+V80))-(0.001+X!H$3*SQRT(MP5!D$6)*(MP5!D$5))))+T80</f>
        <v>29.013276495116713</v>
      </c>
      <c r="Z80" s="89">
        <f>(5*((0.001+X!H$3*SQRT(MP5!E$6+(U80*IF(EXACT("Yes",MP5!H$15),1.1,1)))*(MP5!E$5+(V80*IF(EXACT("Yes",MP5!H$15),1.1,1))))-(0.001+X!H$3*SQRT(MP5!E$6)*(MP5!E$5))))+T80</f>
        <v>35.82196278320254</v>
      </c>
      <c r="AA80" s="81">
        <f t="shared" si="49"/>
        <v>14.793982948535014</v>
      </c>
      <c r="AB80" s="89">
        <f t="shared" si="50"/>
        <v>18.26458883496076</v>
      </c>
      <c r="AC80" s="92">
        <f>F80+(J80*I$3)+(K80*I$4)+(L80*I$5)+(M80*I$6)+IF(EXACT("Y",S80),P80,0)+(IF(EXACT("Human",MP5!H$13),(((IF(EXACT("Y",S80),O80,0)+(J80*K$3)+(K80*K$4)+(L80*K$5)+(M80*K$6)+E80)*1.1)*IF(EXACT("Yes",MP5!H$8),1.05,1)*(0.05*C$5)),((IF(EXACT("Y",S80),O80,0)+(J80*K$3)+(K80*K$4)+(L80*K$5)+(M80*K$6)+E80)*IF(EXACT("Yes",MP5!H$8),1.05,1)*(0.05*C$5))))</f>
        <v>51</v>
      </c>
      <c r="AD80" s="89">
        <f>F80+(J80*I$3)+(K80*I$4)+(L80*I$5)+(M80*I$6)+IF(EXACT("Y",S80),P80,0)+((IF(EXACT("Human",MP5!H$13),(((IF(EXACT("Y",S80),O80,0)+(J80*K$3)+(K80*K$4)+(L80*K$5)+(M80*K$6)+E80)*1.1)*IF(EXACT("Yes",MP5!H$8),1.05,1)*(0.05*C$5)),((IF(EXACT("Y",S80),O80,0)+(J80*K$3)+(K80*K$4)+(L80*K$5)+(M80*K$6)+E80)*IF(EXACT("Yes",MP5!H$8),1.05,1)*(0.05*C$5))))*IF(EXACT("Yes",MP5!H$15),1.1,1))</f>
        <v>51.5</v>
      </c>
    </row>
    <row r="81" spans="1:30" ht="12.75">
      <c r="A81" s="51">
        <f t="shared" si="44"/>
        <v>0</v>
      </c>
      <c r="B81" s="50"/>
      <c r="C81" s="49"/>
      <c r="D81" s="48"/>
      <c r="E81" s="48"/>
      <c r="F81" s="48"/>
      <c r="G81" s="48"/>
      <c r="H81" s="48"/>
      <c r="I81" s="48"/>
      <c r="J81" s="49"/>
      <c r="K81" s="48"/>
      <c r="L81" s="48"/>
      <c r="M81" s="48"/>
      <c r="N81" s="49"/>
      <c r="O81" s="48"/>
      <c r="P81" s="48"/>
      <c r="Q81" s="48"/>
      <c r="R81" s="47">
        <f t="shared" si="51"/>
        <v>0</v>
      </c>
      <c r="S81" s="51" t="str">
        <f t="shared" si="45"/>
        <v>N</v>
      </c>
      <c r="T81" s="52">
        <f t="shared" si="46"/>
        <v>0</v>
      </c>
      <c r="U81" s="51">
        <f t="shared" si="47"/>
        <v>0</v>
      </c>
      <c r="V81" s="51">
        <f t="shared" si="48"/>
        <v>0</v>
      </c>
      <c r="W81" s="92">
        <f>(ROUNDDOWN((Y81-T81)*X!B$8,2))+T81</f>
        <v>0</v>
      </c>
      <c r="X81" s="89">
        <f>(ROUNDDOWN((Z81-T81)*X!B$8,2))+T81</f>
        <v>0</v>
      </c>
      <c r="Y81" s="92">
        <f>(5*((0.001+X!H$3*SQRT(MP5!D$6+U81)*(MP5!D$5+V81))-(0.001+X!H$3*SQRT(MP5!D$6)*(MP5!D$5))))+T81</f>
        <v>0</v>
      </c>
      <c r="Z81" s="89">
        <f>(5*((0.001+X!H$3*SQRT(MP5!E$6+(U81*IF(EXACT("Yes",MP5!H$15),1.1,1)))*(MP5!E$5+(V81*IF(EXACT("Yes",MP5!H$15),1.1,1))))-(0.001+X!H$3*SQRT(MP5!E$6)*(MP5!E$5))))+T81</f>
        <v>0</v>
      </c>
      <c r="AA81" s="81">
        <f t="shared" si="49"/>
        <v>0</v>
      </c>
      <c r="AB81" s="89">
        <f t="shared" si="50"/>
        <v>0</v>
      </c>
      <c r="AC81" s="92">
        <f>F81+(J81*I$3)+(K81*I$4)+(L81*I$5)+(M81*I$6)+IF(EXACT("Y",S81),P81,0)+(IF(EXACT("Human",MP5!H$13),(((IF(EXACT("Y",S81),O81,0)+(J81*K$3)+(K81*K$4)+(L81*K$5)+(M81*K$6)+E81)*1.1)*IF(EXACT("Yes",MP5!H$8),1.05,1)*(0.05*C$5)),((IF(EXACT("Y",S81),O81,0)+(J81*K$3)+(K81*K$4)+(L81*K$5)+(M81*K$6)+E81)*IF(EXACT("Yes",MP5!H$8),1.05,1)*(0.05*C$5))))</f>
        <v>0</v>
      </c>
      <c r="AD81" s="89">
        <f>F81+(J81*I$3)+(K81*I$4)+(L81*I$5)+(M81*I$6)+IF(EXACT("Y",S81),P81,0)+((IF(EXACT("Human",MP5!H$13),(((IF(EXACT("Y",S81),O81,0)+(J81*K$3)+(K81*K$4)+(L81*K$5)+(M81*K$6)+E81)*1.1)*IF(EXACT("Yes",MP5!H$8),1.05,1)*(0.05*C$5)),((IF(EXACT("Y",S81),O81,0)+(J81*K$3)+(K81*K$4)+(L81*K$5)+(M81*K$6)+E81)*IF(EXACT("Yes",MP5!H$8),1.05,1)*(0.05*C$5))))*IF(EXACT("Yes",MP5!H$15),1.1,1))</f>
        <v>0</v>
      </c>
    </row>
    <row r="82" spans="1:30" ht="12.75">
      <c r="A82" s="51">
        <f t="shared" si="44"/>
        <v>0</v>
      </c>
      <c r="B82" s="50"/>
      <c r="C82" s="49"/>
      <c r="D82" s="48"/>
      <c r="E82" s="48"/>
      <c r="F82" s="48"/>
      <c r="G82" s="48"/>
      <c r="H82" s="48"/>
      <c r="I82" s="48"/>
      <c r="J82" s="49"/>
      <c r="K82" s="48"/>
      <c r="L82" s="48"/>
      <c r="M82" s="48"/>
      <c r="N82" s="49"/>
      <c r="O82" s="48"/>
      <c r="P82" s="48"/>
      <c r="Q82" s="48"/>
      <c r="R82" s="47">
        <f t="shared" si="51"/>
        <v>0</v>
      </c>
      <c r="S82" s="51" t="str">
        <f t="shared" si="45"/>
        <v>N</v>
      </c>
      <c r="T82" s="52">
        <f t="shared" si="46"/>
        <v>0</v>
      </c>
      <c r="U82" s="51">
        <f t="shared" si="47"/>
        <v>0</v>
      </c>
      <c r="V82" s="51">
        <f t="shared" si="48"/>
        <v>0</v>
      </c>
      <c r="W82" s="92">
        <f>(ROUNDDOWN((Y82-T82)*X!B$8,2))+T82</f>
        <v>0</v>
      </c>
      <c r="X82" s="89">
        <f>(ROUNDDOWN((Z82-T82)*X!B$8,2))+T82</f>
        <v>0</v>
      </c>
      <c r="Y82" s="92">
        <f>(5*((0.001+X!H$3*SQRT(MP5!D$6+U82)*(MP5!D$5+V82))-(0.001+X!H$3*SQRT(MP5!D$6)*(MP5!D$5))))+T82</f>
        <v>0</v>
      </c>
      <c r="Z82" s="89">
        <f>(5*((0.001+X!H$3*SQRT(MP5!E$6+(U82*IF(EXACT("Yes",MP5!H$15),1.1,1)))*(MP5!E$5+(V82*IF(EXACT("Yes",MP5!H$15),1.1,1))))-(0.001+X!H$3*SQRT(MP5!E$6)*(MP5!E$5))))+T82</f>
        <v>0</v>
      </c>
      <c r="AA82" s="81">
        <f t="shared" si="49"/>
        <v>0</v>
      </c>
      <c r="AB82" s="89">
        <f t="shared" si="50"/>
        <v>0</v>
      </c>
      <c r="AC82" s="92">
        <f>F82+(J82*I$3)+(K82*I$4)+(L82*I$5)+(M82*I$6)+IF(EXACT("Y",S82),P82,0)+(IF(EXACT("Human",MP5!H$13),(((IF(EXACT("Y",S82),O82,0)+(J82*K$3)+(K82*K$4)+(L82*K$5)+(M82*K$6)+E82)*1.1)*IF(EXACT("Yes",MP5!H$8),1.05,1)*(0.05*C$5)),((IF(EXACT("Y",S82),O82,0)+(J82*K$3)+(K82*K$4)+(L82*K$5)+(M82*K$6)+E82)*IF(EXACT("Yes",MP5!H$8),1.05,1)*(0.05*C$5))))</f>
        <v>0</v>
      </c>
      <c r="AD82" s="89">
        <f>F82+(J82*I$3)+(K82*I$4)+(L82*I$5)+(M82*I$6)+IF(EXACT("Y",S82),P82,0)+((IF(EXACT("Human",MP5!H$13),(((IF(EXACT("Y",S82),O82,0)+(J82*K$3)+(K82*K$4)+(L82*K$5)+(M82*K$6)+E82)*1.1)*IF(EXACT("Yes",MP5!H$8),1.05,1)*(0.05*C$5)),((IF(EXACT("Y",S82),O82,0)+(J82*K$3)+(K82*K$4)+(L82*K$5)+(M82*K$6)+E82)*IF(EXACT("Yes",MP5!H$8),1.05,1)*(0.05*C$5))))*IF(EXACT("Yes",MP5!H$15),1.1,1))</f>
        <v>0</v>
      </c>
    </row>
    <row r="83" spans="1:30" ht="12.75">
      <c r="A83" s="59" t="s">
        <v>77</v>
      </c>
      <c r="B83" s="63" t="s">
        <v>150</v>
      </c>
      <c r="C83" s="62" t="s">
        <v>75</v>
      </c>
      <c r="D83" s="60" t="s">
        <v>68</v>
      </c>
      <c r="E83" s="60" t="s">
        <v>67</v>
      </c>
      <c r="F83" s="60" t="s">
        <v>66</v>
      </c>
      <c r="G83" s="60" t="s">
        <v>74</v>
      </c>
      <c r="H83" s="60" t="s">
        <v>65</v>
      </c>
      <c r="I83" s="60" t="s">
        <v>73</v>
      </c>
      <c r="J83" s="61" t="s">
        <v>72</v>
      </c>
      <c r="K83" s="59" t="s">
        <v>71</v>
      </c>
      <c r="L83" s="59" t="s">
        <v>70</v>
      </c>
      <c r="M83" s="59" t="s">
        <v>69</v>
      </c>
      <c r="N83" s="61" t="s">
        <v>68</v>
      </c>
      <c r="O83" s="59" t="s">
        <v>67</v>
      </c>
      <c r="P83" s="60" t="s">
        <v>66</v>
      </c>
      <c r="Q83" s="59" t="s">
        <v>65</v>
      </c>
      <c r="R83" s="47">
        <f t="shared" si="51"/>
        <v>3</v>
      </c>
      <c r="S83" s="59" t="s">
        <v>64</v>
      </c>
      <c r="T83" s="61" t="s">
        <v>65</v>
      </c>
      <c r="U83" s="59" t="s">
        <v>68</v>
      </c>
      <c r="V83" s="59" t="s">
        <v>67</v>
      </c>
      <c r="W83" s="90" t="s">
        <v>1</v>
      </c>
      <c r="X83" s="91" t="s">
        <v>2</v>
      </c>
      <c r="Y83" s="90" t="s">
        <v>1</v>
      </c>
      <c r="Z83" s="91" t="s">
        <v>2</v>
      </c>
      <c r="AA83" s="59" t="s">
        <v>1</v>
      </c>
      <c r="AB83" s="59" t="s">
        <v>2</v>
      </c>
      <c r="AC83" s="90" t="s">
        <v>1</v>
      </c>
      <c r="AD83" s="91" t="s">
        <v>2</v>
      </c>
    </row>
    <row r="84" spans="1:30" ht="12.75">
      <c r="A84" s="51">
        <f aca="true" t="shared" si="52" ref="A84:A95">C84*W$6+D84*Z$3+E84*Y$3+F84*X$3+H84*W$3+J84*X$6+K84*Z$6+L84*Y$6+G84*W$9+I84*AH103+M84*Z$9+(IF(S84="Y",((P84*X$3)+(Q84*W$3)+(O84*Y$3)+(N84*Z$3)),0))</f>
        <v>220.1</v>
      </c>
      <c r="B84" s="50" t="s">
        <v>148</v>
      </c>
      <c r="C84" s="49"/>
      <c r="D84" s="48">
        <v>30</v>
      </c>
      <c r="E84" s="48">
        <v>29</v>
      </c>
      <c r="F84" s="48">
        <v>95</v>
      </c>
      <c r="G84" s="48">
        <v>28</v>
      </c>
      <c r="H84" s="48">
        <v>8</v>
      </c>
      <c r="I84" s="48"/>
      <c r="J84" s="49"/>
      <c r="K84" s="48"/>
      <c r="L84" s="48">
        <v>1</v>
      </c>
      <c r="M84" s="48"/>
      <c r="N84" s="49"/>
      <c r="O84" s="48"/>
      <c r="P84" s="48">
        <v>4</v>
      </c>
      <c r="Q84" s="48"/>
      <c r="R84" s="47">
        <f t="shared" si="51"/>
        <v>1</v>
      </c>
      <c r="S84" s="51" t="str">
        <f aca="true" t="shared" si="53" ref="S84:S95">IF(R84&gt;0,"Y","N")</f>
        <v>Y</v>
      </c>
      <c r="T84" s="52">
        <f aca="true" t="shared" si="54" ref="T84:T95">H84+(J84*H$3)+(K84*H$4)+(L84*H$5)+(M84*H$6)+IF(EXACT("Y",S84),Q84,0)</f>
        <v>8</v>
      </c>
      <c r="U84" s="51">
        <f aca="true" t="shared" si="55" ref="U84:U95">(D84+(J84*J$3)+(K84*J$4)+(L84*J$5)+(M84*J$6)+IF(EXACT("Y",S84),N84,0))*(1+C$6)</f>
        <v>30</v>
      </c>
      <c r="V84" s="51">
        <f aca="true" t="shared" si="56" ref="V84:V95">((((E84+(J84*K$3)+(K84*K$4)+(L84*K$5)+(M84*K$6)+IF(EXACT("Y",S84),O84,0))*IF(EXACT("Yes",C$3),1.1,1))*IF(EXACT("Yes",C$4),1.05,1)))*(1+C$6)</f>
        <v>33.495000000000005</v>
      </c>
      <c r="W84" s="92">
        <f>(ROUNDDOWN((Y84-T84)*X!B$8,2))+T84</f>
        <v>21.060000000000002</v>
      </c>
      <c r="X84" s="89">
        <f>(ROUNDDOWN((Z84-T84)*X!B$8,2))+T84</f>
        <v>24.16</v>
      </c>
      <c r="Y84" s="92">
        <f>(5*((0.001+X!H$3*SQRT(MP5!D$6+U84)*(MP5!D$5+V84))-(0.001+X!H$3*SQRT(MP5!D$6)*(MP5!D$5))))+T84</f>
        <v>51.54100876659693</v>
      </c>
      <c r="Z84" s="89">
        <f>(5*((0.001+X!H$3*SQRT(MP5!E$6+(U84*IF(EXACT("Yes",MP5!H$15),1.1,1)))*(MP5!E$5+(V84*IF(EXACT("Yes",MP5!H$15),1.1,1))))-(0.001+X!H$3*SQRT(MP5!E$6)*(MP5!E$5))))+T84</f>
        <v>61.885488843330194</v>
      </c>
      <c r="AA84" s="81">
        <f aca="true" t="shared" si="57" ref="AA84:AA95">((Y84-W84)*(1-C$7))+W84</f>
        <v>30.204302629979082</v>
      </c>
      <c r="AB84" s="89">
        <f aca="true" t="shared" si="58" ref="AB84:AB95">((Z84-X84)*(1-C$7))+X84</f>
        <v>35.47764665299906</v>
      </c>
      <c r="AC84" s="92">
        <f>F84+(J84*I$3)+(K84*I$4)+(L84*I$5)+(M84*I$6)+IF(EXACT("Y",S84),P84,0)+(IF(EXACT("Human",MP5!H$13),(((IF(EXACT("Y",S84),O84,0)+(J84*K$3)+(K84*K$4)+(L84*K$5)+(M84*K$6)+E84)*1.1)*IF(EXACT("Yes",MP5!H$8),1.05,1)*(0.05*C$5)),((IF(EXACT("Y",S84),O84,0)+(J84*K$3)+(K84*K$4)+(L84*K$5)+(M84*K$6)+E84)*IF(EXACT("Yes",MP5!H$8),1.05,1)*(0.05*C$5))))</f>
        <v>128.25</v>
      </c>
      <c r="AD84" s="89">
        <f>F84+(J84*I$3)+(K84*I$4)+(L84*I$5)+(M84*I$6)+IF(EXACT("Y",S84),P84,0)+((IF(EXACT("Human",MP5!H$13),(((IF(EXACT("Y",S84),O84,0)+(J84*K$3)+(K84*K$4)+(L84*K$5)+(M84*K$6)+E84)*1.1)*IF(EXACT("Yes",MP5!H$8),1.05,1)*(0.05*C$5)),((IF(EXACT("Y",S84),O84,0)+(J84*K$3)+(K84*K$4)+(L84*K$5)+(M84*K$6)+E84)*IF(EXACT("Yes",MP5!H$8),1.05,1)*(0.05*C$5))))*IF(EXACT("Yes",MP5!H$15),1.1,1))</f>
        <v>128.975</v>
      </c>
    </row>
    <row r="85" spans="1:30" ht="12.75">
      <c r="A85" s="51">
        <f t="shared" si="52"/>
        <v>206.2</v>
      </c>
      <c r="B85" s="53" t="s">
        <v>147</v>
      </c>
      <c r="C85" s="52">
        <v>47</v>
      </c>
      <c r="D85" s="51">
        <v>24</v>
      </c>
      <c r="E85" s="51">
        <v>24</v>
      </c>
      <c r="F85" s="48">
        <v>73</v>
      </c>
      <c r="G85" s="51"/>
      <c r="H85" s="51"/>
      <c r="I85" s="51"/>
      <c r="J85" s="52">
        <v>1</v>
      </c>
      <c r="K85" s="51">
        <v>1</v>
      </c>
      <c r="L85" s="51"/>
      <c r="M85" s="51"/>
      <c r="N85" s="52"/>
      <c r="O85" s="51"/>
      <c r="P85" s="51">
        <v>7</v>
      </c>
      <c r="Q85" s="51"/>
      <c r="R85" s="47">
        <f t="shared" si="51"/>
        <v>2</v>
      </c>
      <c r="S85" s="51" t="str">
        <f t="shared" si="53"/>
        <v>Y</v>
      </c>
      <c r="T85" s="52">
        <f t="shared" si="54"/>
        <v>2</v>
      </c>
      <c r="U85" s="51">
        <f t="shared" si="55"/>
        <v>29</v>
      </c>
      <c r="V85" s="51">
        <f t="shared" si="56"/>
        <v>39.27000000000001</v>
      </c>
      <c r="W85" s="92">
        <f>(ROUNDDOWN((Y85-T85)*X!B$8,2))+T85</f>
        <v>16.78</v>
      </c>
      <c r="X85" s="89">
        <f>(ROUNDDOWN((Z85-T85)*X!B$8,2))+T85</f>
        <v>20.21</v>
      </c>
      <c r="Y85" s="92">
        <f>(5*((0.001+X!H$3*SQRT(MP5!D$6+U85)*(MP5!D$5+V85))-(0.001+X!H$3*SQRT(MP5!D$6)*(MP5!D$5))))+T85</f>
        <v>51.27521055999463</v>
      </c>
      <c r="Z85" s="89">
        <f>(5*((0.001+X!H$3*SQRT(MP5!E$6+(U85*IF(EXACT("Yes",MP5!H$15),1.1,1)))*(MP5!E$5+(V85*IF(EXACT("Yes",MP5!H$15),1.1,1))))-(0.001+X!H$3*SQRT(MP5!E$6)*(MP5!E$5))))+T85</f>
        <v>62.705267340487126</v>
      </c>
      <c r="AA85" s="81">
        <f t="shared" si="57"/>
        <v>27.128563167998394</v>
      </c>
      <c r="AB85" s="89">
        <f t="shared" si="58"/>
        <v>32.95858020214614</v>
      </c>
      <c r="AC85" s="92">
        <f>F85+(J85*I$3)+(K85*I$4)+(L85*I$5)+(M85*I$6)+IF(EXACT("Y",S85),P85,0)+(IF(EXACT("Human",MP5!H$13),(((IF(EXACT("Y",S85),O85,0)+(J85*K$3)+(K85*K$4)+(L85*K$5)+(M85*K$6)+E85)*1.1)*IF(EXACT("Yes",MP5!H$8),1.05,1)*(0.05*C$5)),((IF(EXACT("Y",S85),O85,0)+(J85*K$3)+(K85*K$4)+(L85*K$5)+(M85*K$6)+E85)*IF(EXACT("Yes",MP5!H$8),1.05,1)*(0.05*C$5))))</f>
        <v>88.5</v>
      </c>
      <c r="AD85" s="89">
        <f>F85+(J85*I$3)+(K85*I$4)+(L85*I$5)+(M85*I$6)+IF(EXACT("Y",S85),P85,0)+((IF(EXACT("Human",MP5!H$13),(((IF(EXACT("Y",S85),O85,0)+(J85*K$3)+(K85*K$4)+(L85*K$5)+(M85*K$6)+E85)*1.1)*IF(EXACT("Yes",MP5!H$8),1.05,1)*(0.05*C$5)),((IF(EXACT("Y",S85),O85,0)+(J85*K$3)+(K85*K$4)+(L85*K$5)+(M85*K$6)+E85)*IF(EXACT("Yes",MP5!H$8),1.05,1)*(0.05*C$5))))*IF(EXACT("Yes",MP5!H$15),1.1,1))</f>
        <v>89.35</v>
      </c>
    </row>
    <row r="86" spans="1:30" ht="12.75">
      <c r="A86" s="51">
        <f t="shared" si="52"/>
        <v>191.29999999999998</v>
      </c>
      <c r="B86" s="50" t="s">
        <v>149</v>
      </c>
      <c r="C86" s="49">
        <v>28</v>
      </c>
      <c r="D86" s="48">
        <v>25</v>
      </c>
      <c r="E86" s="48">
        <v>34</v>
      </c>
      <c r="F86" s="48">
        <v>86</v>
      </c>
      <c r="G86" s="48"/>
      <c r="H86" s="48"/>
      <c r="I86" s="48"/>
      <c r="J86" s="49"/>
      <c r="K86" s="48"/>
      <c r="L86" s="48">
        <v>1</v>
      </c>
      <c r="M86" s="48"/>
      <c r="N86" s="49"/>
      <c r="O86" s="48">
        <v>2</v>
      </c>
      <c r="P86" s="48"/>
      <c r="Q86" s="48"/>
      <c r="R86" s="47">
        <f t="shared" si="51"/>
        <v>1</v>
      </c>
      <c r="S86" s="51" t="str">
        <f t="shared" si="53"/>
        <v>Y</v>
      </c>
      <c r="T86" s="52">
        <f t="shared" si="54"/>
        <v>0</v>
      </c>
      <c r="U86" s="51">
        <f t="shared" si="55"/>
        <v>25</v>
      </c>
      <c r="V86" s="51">
        <f t="shared" si="56"/>
        <v>41.580000000000005</v>
      </c>
      <c r="W86" s="92">
        <f>(ROUNDDOWN((Y86-T86)*X!B$8,2))+T86</f>
        <v>15.12</v>
      </c>
      <c r="X86" s="89">
        <f>(ROUNDDOWN((Z86-T86)*X!B$8,2))+T86</f>
        <v>18.55</v>
      </c>
      <c r="Y86" s="92">
        <f>(5*((0.001+X!H$3*SQRT(MP5!D$6+U86)*(MP5!D$5+V86))-(0.001+X!H$3*SQRT(MP5!D$6)*(MP5!D$5))))+T86</f>
        <v>50.40909944757658</v>
      </c>
      <c r="Z86" s="89">
        <f>(5*((0.001+X!H$3*SQRT(MP5!E$6+(U86*IF(EXACT("Yes",MP5!H$15),1.1,1)))*(MP5!E$5+(V86*IF(EXACT("Yes",MP5!H$15),1.1,1))))-(0.001+X!H$3*SQRT(MP5!E$6)*(MP5!E$5))))+T86</f>
        <v>61.854223073500236</v>
      </c>
      <c r="AA86" s="81">
        <f t="shared" si="57"/>
        <v>25.706729834272977</v>
      </c>
      <c r="AB86" s="89">
        <f t="shared" si="58"/>
        <v>31.541266922050074</v>
      </c>
      <c r="AC86" s="92">
        <f>F86+(J86*I$3)+(K86*I$4)+(L86*I$5)+(M86*I$6)+IF(EXACT("Y",S86),P86,0)+(IF(EXACT("Human",MP5!H$13),(((IF(EXACT("Y",S86),O86,0)+(J86*K$3)+(K86*K$4)+(L86*K$5)+(M86*K$6)+E86)*1.1)*IF(EXACT("Yes",MP5!H$8),1.05,1)*(0.05*C$5)),((IF(EXACT("Y",S86),O86,0)+(J86*K$3)+(K86*K$4)+(L86*K$5)+(M86*K$6)+E86)*IF(EXACT("Yes",MP5!H$8),1.05,1)*(0.05*C$5))))</f>
        <v>117</v>
      </c>
      <c r="AD86" s="89">
        <f>F86+(J86*I$3)+(K86*I$4)+(L86*I$5)+(M86*I$6)+IF(EXACT("Y",S86),P86,0)+((IF(EXACT("Human",MP5!H$13),(((IF(EXACT("Y",S86),O86,0)+(J86*K$3)+(K86*K$4)+(L86*K$5)+(M86*K$6)+E86)*1.1)*IF(EXACT("Yes",MP5!H$8),1.05,1)*(0.05*C$5)),((IF(EXACT("Y",S86),O86,0)+(J86*K$3)+(K86*K$4)+(L86*K$5)+(M86*K$6)+E86)*IF(EXACT("Yes",MP5!H$8),1.05,1)*(0.05*C$5))))*IF(EXACT("Yes",MP5!H$15),1.1,1))</f>
        <v>117.9</v>
      </c>
    </row>
    <row r="87" spans="1:30" ht="12.75">
      <c r="A87" s="51">
        <f t="shared" si="52"/>
        <v>182.2</v>
      </c>
      <c r="B87" s="53" t="s">
        <v>143</v>
      </c>
      <c r="C87" s="52">
        <v>33</v>
      </c>
      <c r="D87" s="51">
        <v>30</v>
      </c>
      <c r="E87" s="51"/>
      <c r="F87" s="51">
        <v>66</v>
      </c>
      <c r="G87" s="51"/>
      <c r="H87" s="51">
        <v>9</v>
      </c>
      <c r="I87" s="51"/>
      <c r="J87" s="52">
        <v>1</v>
      </c>
      <c r="K87" s="51"/>
      <c r="L87" s="51">
        <v>1</v>
      </c>
      <c r="M87" s="51"/>
      <c r="N87" s="52"/>
      <c r="O87" s="51"/>
      <c r="P87" s="51">
        <v>7</v>
      </c>
      <c r="Q87" s="51"/>
      <c r="R87" s="47">
        <f t="shared" si="51"/>
        <v>2</v>
      </c>
      <c r="S87" s="51" t="str">
        <f t="shared" si="53"/>
        <v>Y</v>
      </c>
      <c r="T87" s="52">
        <f t="shared" si="54"/>
        <v>9</v>
      </c>
      <c r="U87" s="51">
        <f t="shared" si="55"/>
        <v>30</v>
      </c>
      <c r="V87" s="51">
        <f t="shared" si="56"/>
        <v>11.55</v>
      </c>
      <c r="W87" s="92">
        <f>(ROUNDDOWN((Y87-T87)*X!B$8,2))+T87</f>
        <v>15.16</v>
      </c>
      <c r="X87" s="89">
        <f>(ROUNDDOWN((Z87-T87)*X!B$8,2))+T87</f>
        <v>16.89</v>
      </c>
      <c r="Y87" s="92">
        <f>(5*((0.001+X!H$3*SQRT(MP5!D$6+U87)*(MP5!D$5+V87))-(0.001+X!H$3*SQRT(MP5!D$6)*(MP5!D$5))))+T87</f>
        <v>29.542840067642736</v>
      </c>
      <c r="Z87" s="89">
        <f>(5*((0.001+X!H$3*SQRT(MP5!E$6+(U87*IF(EXACT("Yes",MP5!H$15),1.1,1)))*(MP5!E$5+(V87*IF(EXACT("Yes",MP5!H$15),1.1,1))))-(0.001+X!H$3*SQRT(MP5!E$6)*(MP5!E$5))))+T87</f>
        <v>35.321958257559785</v>
      </c>
      <c r="AA87" s="81">
        <f t="shared" si="57"/>
        <v>19.474852020292822</v>
      </c>
      <c r="AB87" s="89">
        <f t="shared" si="58"/>
        <v>22.41958747726794</v>
      </c>
      <c r="AC87" s="92">
        <f>F87+(J87*I$3)+(K87*I$4)+(L87*I$5)+(M87*I$6)+IF(EXACT("Y",S87),P87,0)+(IF(EXACT("Human",MP5!H$13),(((IF(EXACT("Y",S87),O87,0)+(J87*K$3)+(K87*K$4)+(L87*K$5)+(M87*K$6)+E87)*1.1)*IF(EXACT("Yes",MP5!H$8),1.05,1)*(0.05*C$5)),((IF(EXACT("Y",S87),O87,0)+(J87*K$3)+(K87*K$4)+(L87*K$5)+(M87*K$6)+E87)*IF(EXACT("Yes",MP5!H$8),1.05,1)*(0.05*C$5))))</f>
        <v>97.5</v>
      </c>
      <c r="AD87" s="89">
        <f>F87+(J87*I$3)+(K87*I$4)+(L87*I$5)+(M87*I$6)+IF(EXACT("Y",S87),P87,0)+((IF(EXACT("Human",MP5!H$13),(((IF(EXACT("Y",S87),O87,0)+(J87*K$3)+(K87*K$4)+(L87*K$5)+(M87*K$6)+E87)*1.1)*IF(EXACT("Yes",MP5!H$8),1.05,1)*(0.05*C$5)),((IF(EXACT("Y",S87),O87,0)+(J87*K$3)+(K87*K$4)+(L87*K$5)+(M87*K$6)+E87)*IF(EXACT("Yes",MP5!H$8),1.05,1)*(0.05*C$5))))*IF(EXACT("Yes",MP5!H$15),1.1,1))</f>
        <v>97.75</v>
      </c>
    </row>
    <row r="88" spans="1:30" ht="12.75">
      <c r="A88" s="51">
        <f t="shared" si="52"/>
        <v>179.4</v>
      </c>
      <c r="B88" s="53" t="s">
        <v>146</v>
      </c>
      <c r="C88" s="52">
        <v>20</v>
      </c>
      <c r="D88" s="51">
        <v>19</v>
      </c>
      <c r="E88" s="51">
        <v>33</v>
      </c>
      <c r="F88" s="51">
        <v>64</v>
      </c>
      <c r="G88" s="51"/>
      <c r="H88" s="51"/>
      <c r="I88" s="51"/>
      <c r="J88" s="52">
        <v>1</v>
      </c>
      <c r="K88" s="51"/>
      <c r="L88" s="51">
        <v>1</v>
      </c>
      <c r="M88" s="51"/>
      <c r="N88" s="52"/>
      <c r="O88" s="51"/>
      <c r="P88" s="51">
        <v>7</v>
      </c>
      <c r="Q88" s="51"/>
      <c r="R88" s="47">
        <f t="shared" si="51"/>
        <v>2</v>
      </c>
      <c r="S88" s="51" t="str">
        <f t="shared" si="53"/>
        <v>Y</v>
      </c>
      <c r="T88" s="52">
        <f t="shared" si="54"/>
        <v>0</v>
      </c>
      <c r="U88" s="51">
        <f t="shared" si="55"/>
        <v>19</v>
      </c>
      <c r="V88" s="51">
        <f t="shared" si="56"/>
        <v>49.665000000000006</v>
      </c>
      <c r="W88" s="92">
        <f>(ROUNDDOWN((Y88-T88)*X!B$8,2))+T88</f>
        <v>17.05</v>
      </c>
      <c r="X88" s="89">
        <f>(ROUNDDOWN((Z88-T88)*X!B$8,2))+T88</f>
        <v>20.78</v>
      </c>
      <c r="Y88" s="92">
        <f>(5*((0.001+X!H$3*SQRT(MP5!D$6+U88)*(MP5!D$5+V88))-(0.001+X!H$3*SQRT(MP5!D$6)*(MP5!D$5))))+T88</f>
        <v>56.85278808264776</v>
      </c>
      <c r="Z88" s="89">
        <f>(5*((0.001+X!H$3*SQRT(MP5!E$6+(U88*IF(EXACT("Yes",MP5!H$15),1.1,1)))*(MP5!E$5+(V88*IF(EXACT("Yes",MP5!H$15),1.1,1))))-(0.001+X!H$3*SQRT(MP5!E$6)*(MP5!E$5))))+T88</f>
        <v>69.26929914377133</v>
      </c>
      <c r="AA88" s="81">
        <f t="shared" si="57"/>
        <v>28.99083642479433</v>
      </c>
      <c r="AB88" s="89">
        <f t="shared" si="58"/>
        <v>35.3267897431314</v>
      </c>
      <c r="AC88" s="92">
        <f>F88+(J88*I$3)+(K88*I$4)+(L88*I$5)+(M88*I$6)+IF(EXACT("Y",S88),P88,0)+(IF(EXACT("Human",MP5!H$13),(((IF(EXACT("Y",S88),O88,0)+(J88*K$3)+(K88*K$4)+(L88*K$5)+(M88*K$6)+E88)*1.1)*IF(EXACT("Yes",MP5!H$8),1.05,1)*(0.05*C$5)),((IF(EXACT("Y",S88),O88,0)+(J88*K$3)+(K88*K$4)+(L88*K$5)+(M88*K$6)+E88)*IF(EXACT("Yes",MP5!H$8),1.05,1)*(0.05*C$5))))</f>
        <v>103.75</v>
      </c>
      <c r="AD88" s="89">
        <f>F88+(J88*I$3)+(K88*I$4)+(L88*I$5)+(M88*I$6)+IF(EXACT("Y",S88),P88,0)+((IF(EXACT("Human",MP5!H$13),(((IF(EXACT("Y",S88),O88,0)+(J88*K$3)+(K88*K$4)+(L88*K$5)+(M88*K$6)+E88)*1.1)*IF(EXACT("Yes",MP5!H$8),1.05,1)*(0.05*C$5)),((IF(EXACT("Y",S88),O88,0)+(J88*K$3)+(K88*K$4)+(L88*K$5)+(M88*K$6)+E88)*IF(EXACT("Yes",MP5!H$8),1.05,1)*(0.05*C$5))))*IF(EXACT("Yes",MP5!H$15),1.1,1))</f>
        <v>104.825</v>
      </c>
    </row>
    <row r="89" spans="1:30" ht="12.75">
      <c r="A89" s="51">
        <f t="shared" si="52"/>
        <v>176.1</v>
      </c>
      <c r="B89" s="53" t="s">
        <v>144</v>
      </c>
      <c r="C89" s="52">
        <v>29</v>
      </c>
      <c r="D89" s="51">
        <v>30</v>
      </c>
      <c r="E89" s="51">
        <v>37</v>
      </c>
      <c r="F89" s="51">
        <v>84</v>
      </c>
      <c r="G89" s="51"/>
      <c r="H89" s="51"/>
      <c r="I89" s="51"/>
      <c r="J89" s="52"/>
      <c r="K89" s="51"/>
      <c r="L89" s="51"/>
      <c r="M89" s="51"/>
      <c r="N89" s="52"/>
      <c r="O89" s="51"/>
      <c r="P89" s="51"/>
      <c r="Q89" s="51"/>
      <c r="R89" s="47">
        <f t="shared" si="51"/>
        <v>0</v>
      </c>
      <c r="S89" s="51" t="str">
        <f t="shared" si="53"/>
        <v>N</v>
      </c>
      <c r="T89" s="52">
        <f t="shared" si="54"/>
        <v>0</v>
      </c>
      <c r="U89" s="51">
        <f t="shared" si="55"/>
        <v>30</v>
      </c>
      <c r="V89" s="51">
        <f t="shared" si="56"/>
        <v>42.73500000000001</v>
      </c>
      <c r="W89" s="92">
        <f>(ROUNDDOWN((Y89-T89)*X!B$8,2))+T89</f>
        <v>15.96</v>
      </c>
      <c r="X89" s="89">
        <f>(ROUNDDOWN((Z89-T89)*X!B$8,2))+T89</f>
        <v>19.64</v>
      </c>
      <c r="Y89" s="92">
        <f>(5*((0.001+X!H$3*SQRT(MP5!D$6+U89)*(MP5!D$5+V89))-(0.001+X!H$3*SQRT(MP5!D$6)*(MP5!D$5))))+T89</f>
        <v>53.22444821878818</v>
      </c>
      <c r="Z89" s="89">
        <f>(5*((0.001+X!H$3*SQRT(MP5!E$6+(U89*IF(EXACT("Yes",MP5!H$15),1.1,1)))*(MP5!E$5+(V89*IF(EXACT("Yes",MP5!H$15),1.1,1))))-(0.001+X!H$3*SQRT(MP5!E$6)*(MP5!E$5))))+T89</f>
        <v>65.4911859320756</v>
      </c>
      <c r="AA89" s="81">
        <f t="shared" si="57"/>
        <v>27.13933446563646</v>
      </c>
      <c r="AB89" s="89">
        <f t="shared" si="58"/>
        <v>33.39535577962268</v>
      </c>
      <c r="AC89" s="92">
        <f>F89+(J89*I$3)+(K89*I$4)+(L89*I$5)+(M89*I$6)+IF(EXACT("Y",S89),P89,0)+(IF(EXACT("Human",MP5!H$13),(((IF(EXACT("Y",S89),O89,0)+(J89*K$3)+(K89*K$4)+(L89*K$5)+(M89*K$6)+E89)*1.1)*IF(EXACT("Yes",MP5!H$8),1.05,1)*(0.05*C$5)),((IF(EXACT("Y",S89),O89,0)+(J89*K$3)+(K89*K$4)+(L89*K$5)+(M89*K$6)+E89)*IF(EXACT("Yes",MP5!H$8),1.05,1)*(0.05*C$5))))</f>
        <v>93.25</v>
      </c>
      <c r="AD89" s="89">
        <f>F89+(J89*I$3)+(K89*I$4)+(L89*I$5)+(M89*I$6)+IF(EXACT("Y",S89),P89,0)+((IF(EXACT("Human",MP5!H$13),(((IF(EXACT("Y",S89),O89,0)+(J89*K$3)+(K89*K$4)+(L89*K$5)+(M89*K$6)+E89)*1.1)*IF(EXACT("Yes",MP5!H$8),1.05,1)*(0.05*C$5)),((IF(EXACT("Y",S89),O89,0)+(J89*K$3)+(K89*K$4)+(L89*K$5)+(M89*K$6)+E89)*IF(EXACT("Yes",MP5!H$8),1.05,1)*(0.05*C$5))))*IF(EXACT("Yes",MP5!H$15),1.1,1))</f>
        <v>94.175</v>
      </c>
    </row>
    <row r="90" spans="1:30" ht="12.75">
      <c r="A90" s="51">
        <f t="shared" si="52"/>
        <v>164.79999999999998</v>
      </c>
      <c r="B90" s="53" t="s">
        <v>145</v>
      </c>
      <c r="C90" s="52">
        <v>25</v>
      </c>
      <c r="D90" s="51">
        <v>26</v>
      </c>
      <c r="E90" s="51">
        <v>22</v>
      </c>
      <c r="F90" s="51">
        <v>73</v>
      </c>
      <c r="G90" s="51"/>
      <c r="H90" s="51">
        <v>9</v>
      </c>
      <c r="I90" s="51"/>
      <c r="J90" s="52"/>
      <c r="K90" s="51"/>
      <c r="L90" s="51"/>
      <c r="M90" s="51"/>
      <c r="N90" s="52"/>
      <c r="O90" s="51"/>
      <c r="P90" s="51"/>
      <c r="Q90" s="51"/>
      <c r="R90" s="47">
        <f t="shared" si="51"/>
        <v>0</v>
      </c>
      <c r="S90" s="51" t="str">
        <f t="shared" si="53"/>
        <v>N</v>
      </c>
      <c r="T90" s="52">
        <f t="shared" si="54"/>
        <v>9</v>
      </c>
      <c r="U90" s="51">
        <f t="shared" si="55"/>
        <v>26</v>
      </c>
      <c r="V90" s="51">
        <f t="shared" si="56"/>
        <v>25.410000000000004</v>
      </c>
      <c r="W90" s="92">
        <f>(ROUNDDOWN((Y90-T90)*X!B$8,2))+T90</f>
        <v>19.15</v>
      </c>
      <c r="X90" s="89">
        <f>(ROUNDDOWN((Z90-T90)*X!B$8,2))+T90</f>
        <v>21.61</v>
      </c>
      <c r="Y90" s="92">
        <f>(5*((0.001+X!H$3*SQRT(MP5!D$6+U90)*(MP5!D$5+V90))-(0.001+X!H$3*SQRT(MP5!D$6)*(MP5!D$5))))+T90</f>
        <v>42.851950278561986</v>
      </c>
      <c r="Z90" s="89">
        <f>(5*((0.001+X!H$3*SQRT(MP5!E$6+(U90*IF(EXACT("Yes",MP5!H$15),1.1,1)))*(MP5!E$5+(V90*IF(EXACT("Yes",MP5!H$15),1.1,1))))-(0.001+X!H$3*SQRT(MP5!E$6)*(MP5!E$5))))+T90</f>
        <v>51.056979682947286</v>
      </c>
      <c r="AA90" s="81">
        <f t="shared" si="57"/>
        <v>26.260585083568596</v>
      </c>
      <c r="AB90" s="89">
        <f t="shared" si="58"/>
        <v>30.444093904884188</v>
      </c>
      <c r="AC90" s="92">
        <f>F90+(J90*I$3)+(K90*I$4)+(L90*I$5)+(M90*I$6)+IF(EXACT("Y",S90),P90,0)+(IF(EXACT("Human",MP5!H$13),(((IF(EXACT("Y",S90),O90,0)+(J90*K$3)+(K90*K$4)+(L90*K$5)+(M90*K$6)+E90)*1.1)*IF(EXACT("Yes",MP5!H$8),1.05,1)*(0.05*C$5)),((IF(EXACT("Y",S90),O90,0)+(J90*K$3)+(K90*K$4)+(L90*K$5)+(M90*K$6)+E90)*IF(EXACT("Yes",MP5!H$8),1.05,1)*(0.05*C$5))))</f>
        <v>78.5</v>
      </c>
      <c r="AD90" s="89">
        <f>F90+(J90*I$3)+(K90*I$4)+(L90*I$5)+(M90*I$6)+IF(EXACT("Y",S90),P90,0)+((IF(EXACT("Human",MP5!H$13),(((IF(EXACT("Y",S90),O90,0)+(J90*K$3)+(K90*K$4)+(L90*K$5)+(M90*K$6)+E90)*1.1)*IF(EXACT("Yes",MP5!H$8),1.05,1)*(0.05*C$5)),((IF(EXACT("Y",S90),O90,0)+(J90*K$3)+(K90*K$4)+(L90*K$5)+(M90*K$6)+E90)*IF(EXACT("Yes",MP5!H$8),1.05,1)*(0.05*C$5))))*IF(EXACT("Yes",MP5!H$15),1.1,1))</f>
        <v>79.05</v>
      </c>
    </row>
    <row r="91" spans="1:30" ht="12.75">
      <c r="A91" s="51">
        <f t="shared" si="52"/>
        <v>145.3</v>
      </c>
      <c r="B91" s="53" t="s">
        <v>141</v>
      </c>
      <c r="C91" s="52">
        <v>24</v>
      </c>
      <c r="D91" s="51">
        <v>24</v>
      </c>
      <c r="E91" s="51">
        <v>23</v>
      </c>
      <c r="F91" s="51">
        <v>57</v>
      </c>
      <c r="G91" s="51"/>
      <c r="H91" s="51">
        <v>8</v>
      </c>
      <c r="I91" s="51"/>
      <c r="J91" s="52"/>
      <c r="K91" s="51"/>
      <c r="L91" s="51"/>
      <c r="M91" s="51"/>
      <c r="N91" s="52"/>
      <c r="O91" s="51"/>
      <c r="P91" s="51"/>
      <c r="Q91" s="51"/>
      <c r="R91" s="47">
        <f t="shared" si="51"/>
        <v>0</v>
      </c>
      <c r="S91" s="51" t="str">
        <f t="shared" si="53"/>
        <v>N</v>
      </c>
      <c r="T91" s="52">
        <f t="shared" si="54"/>
        <v>8</v>
      </c>
      <c r="U91" s="51">
        <f t="shared" si="55"/>
        <v>24</v>
      </c>
      <c r="V91" s="51">
        <f t="shared" si="56"/>
        <v>26.565</v>
      </c>
      <c r="W91" s="92">
        <f>(ROUNDDOWN((Y91-T91)*X!B$8,2))+T91</f>
        <v>18.33</v>
      </c>
      <c r="X91" s="89">
        <f>(ROUNDDOWN((Z91-T91)*X!B$8,2))+T91</f>
        <v>20.79</v>
      </c>
      <c r="Y91" s="92">
        <f>(5*((0.001+X!H$3*SQRT(MP5!D$6+U91)*(MP5!D$5+V91))-(0.001+X!H$3*SQRT(MP5!D$6)*(MP5!D$5))))+T91</f>
        <v>42.44532312202597</v>
      </c>
      <c r="Z91" s="89">
        <f>(5*((0.001+X!H$3*SQRT(MP5!E$6+(U91*IF(EXACT("Yes",MP5!H$15),1.1,1)))*(MP5!E$5+(V91*IF(EXACT("Yes",MP5!H$15),1.1,1))))-(0.001+X!H$3*SQRT(MP5!E$6)*(MP5!E$5))))+T91</f>
        <v>50.660601986679865</v>
      </c>
      <c r="AA91" s="81">
        <f t="shared" si="57"/>
        <v>25.564596936607792</v>
      </c>
      <c r="AB91" s="89">
        <f t="shared" si="58"/>
        <v>29.751180596003962</v>
      </c>
      <c r="AC91" s="92">
        <f>F91+(J91*I$3)+(K91*I$4)+(L91*I$5)+(M91*I$6)+IF(EXACT("Y",S91),P91,0)+(IF(EXACT("Human",MP5!H$13),(((IF(EXACT("Y",S91),O91,0)+(J91*K$3)+(K91*K$4)+(L91*K$5)+(M91*K$6)+E91)*1.1)*IF(EXACT("Yes",MP5!H$8),1.05,1)*(0.05*C$5)),((IF(EXACT("Y",S91),O91,0)+(J91*K$3)+(K91*K$4)+(L91*K$5)+(M91*K$6)+E91)*IF(EXACT("Yes",MP5!H$8),1.05,1)*(0.05*C$5))))</f>
        <v>62.75</v>
      </c>
      <c r="AD91" s="89">
        <f>F91+(J91*I$3)+(K91*I$4)+(L91*I$5)+(M91*I$6)+IF(EXACT("Y",S91),P91,0)+((IF(EXACT("Human",MP5!H$13),(((IF(EXACT("Y",S91),O91,0)+(J91*K$3)+(K91*K$4)+(L91*K$5)+(M91*K$6)+E91)*1.1)*IF(EXACT("Yes",MP5!H$8),1.05,1)*(0.05*C$5)),((IF(EXACT("Y",S91),O91,0)+(J91*K$3)+(K91*K$4)+(L91*K$5)+(M91*K$6)+E91)*IF(EXACT("Yes",MP5!H$8),1.05,1)*(0.05*C$5))))*IF(EXACT("Yes",MP5!H$15),1.1,1))</f>
        <v>63.325</v>
      </c>
    </row>
    <row r="92" spans="1:30" ht="12.75">
      <c r="A92" s="51">
        <f t="shared" si="52"/>
        <v>128.9</v>
      </c>
      <c r="B92" s="53" t="s">
        <v>140</v>
      </c>
      <c r="C92" s="52">
        <v>24</v>
      </c>
      <c r="D92" s="51">
        <v>26</v>
      </c>
      <c r="E92" s="51">
        <v>23</v>
      </c>
      <c r="F92" s="51">
        <v>62</v>
      </c>
      <c r="G92" s="51"/>
      <c r="H92" s="51"/>
      <c r="I92" s="51"/>
      <c r="J92" s="52"/>
      <c r="K92" s="51"/>
      <c r="L92" s="51"/>
      <c r="M92" s="51"/>
      <c r="N92" s="52"/>
      <c r="O92" s="51"/>
      <c r="P92" s="51"/>
      <c r="Q92" s="51"/>
      <c r="R92" s="47">
        <f t="shared" si="51"/>
        <v>0</v>
      </c>
      <c r="S92" s="51" t="str">
        <f t="shared" si="53"/>
        <v>N</v>
      </c>
      <c r="T92" s="52">
        <f t="shared" si="54"/>
        <v>0</v>
      </c>
      <c r="U92" s="51">
        <f t="shared" si="55"/>
        <v>26</v>
      </c>
      <c r="V92" s="51">
        <f t="shared" si="56"/>
        <v>26.565</v>
      </c>
      <c r="W92" s="92">
        <f>(ROUNDDOWN((Y92-T92)*X!B$8,2))+T92</f>
        <v>10.51</v>
      </c>
      <c r="X92" s="89">
        <f>(ROUNDDOWN((Z92-T92)*X!B$8,2))+T92</f>
        <v>13.05</v>
      </c>
      <c r="Y92" s="92">
        <f>(5*((0.001+X!H$3*SQRT(MP5!D$6+U92)*(MP5!D$5+V92))-(0.001+X!H$3*SQRT(MP5!D$6)*(MP5!D$5))))+T92</f>
        <v>35.05757689775965</v>
      </c>
      <c r="Z92" s="89">
        <f>(5*((0.001+X!H$3*SQRT(MP5!E$6+(U92*IF(EXACT("Yes",MP5!H$15),1.1,1)))*(MP5!E$5+(V92*IF(EXACT("Yes",MP5!H$15),1.1,1))))-(0.001+X!H$3*SQRT(MP5!E$6)*(MP5!E$5))))+T92</f>
        <v>43.50235830048433</v>
      </c>
      <c r="AA92" s="81">
        <f t="shared" si="57"/>
        <v>17.8742730693279</v>
      </c>
      <c r="AB92" s="89">
        <f t="shared" si="58"/>
        <v>22.1857074901453</v>
      </c>
      <c r="AC92" s="92">
        <f>F92+(J92*I$3)+(K92*I$4)+(L92*I$5)+(M92*I$6)+IF(EXACT("Y",S92),P92,0)+(IF(EXACT("Human",MP5!H$13),(((IF(EXACT("Y",S92),O92,0)+(J92*K$3)+(K92*K$4)+(L92*K$5)+(M92*K$6)+E92)*1.1)*IF(EXACT("Yes",MP5!H$8),1.05,1)*(0.05*C$5)),((IF(EXACT("Y",S92),O92,0)+(J92*K$3)+(K92*K$4)+(L92*K$5)+(M92*K$6)+E92)*IF(EXACT("Yes",MP5!H$8),1.05,1)*(0.05*C$5))))</f>
        <v>67.75</v>
      </c>
      <c r="AD92" s="89">
        <f>F92+(J92*I$3)+(K92*I$4)+(L92*I$5)+(M92*I$6)+IF(EXACT("Y",S92),P92,0)+((IF(EXACT("Human",MP5!H$13),(((IF(EXACT("Y",S92),O92,0)+(J92*K$3)+(K92*K$4)+(L92*K$5)+(M92*K$6)+E92)*1.1)*IF(EXACT("Yes",MP5!H$8),1.05,1)*(0.05*C$5)),((IF(EXACT("Y",S92),O92,0)+(J92*K$3)+(K92*K$4)+(L92*K$5)+(M92*K$6)+E92)*IF(EXACT("Yes",MP5!H$8),1.05,1)*(0.05*C$5))))*IF(EXACT("Yes",MP5!H$15),1.1,1))</f>
        <v>68.325</v>
      </c>
    </row>
    <row r="93" spans="1:30" ht="12.75">
      <c r="A93" s="51">
        <f t="shared" si="52"/>
        <v>111</v>
      </c>
      <c r="B93" s="53" t="s">
        <v>142</v>
      </c>
      <c r="C93" s="52">
        <v>25</v>
      </c>
      <c r="D93" s="51">
        <v>22</v>
      </c>
      <c r="E93" s="51"/>
      <c r="F93" s="51">
        <v>50</v>
      </c>
      <c r="G93" s="51">
        <v>25</v>
      </c>
      <c r="H93" s="51"/>
      <c r="I93" s="51"/>
      <c r="J93" s="52"/>
      <c r="K93" s="51"/>
      <c r="L93" s="51"/>
      <c r="M93" s="51"/>
      <c r="N93" s="52"/>
      <c r="O93" s="51"/>
      <c r="P93" s="51"/>
      <c r="Q93" s="51"/>
      <c r="R93" s="47">
        <f t="shared" si="51"/>
        <v>0</v>
      </c>
      <c r="S93" s="51" t="str">
        <f t="shared" si="53"/>
        <v>N</v>
      </c>
      <c r="T93" s="52">
        <f t="shared" si="54"/>
        <v>0</v>
      </c>
      <c r="U93" s="51">
        <f t="shared" si="55"/>
        <v>22</v>
      </c>
      <c r="V93" s="51">
        <f t="shared" si="56"/>
        <v>0</v>
      </c>
      <c r="W93" s="92">
        <f>(ROUNDDOWN((Y93-T93)*X!B$8,2))+T93</f>
        <v>1.86</v>
      </c>
      <c r="X93" s="89">
        <f>(ROUNDDOWN((Z93-T93)*X!B$8,2))+T93</f>
        <v>2.6</v>
      </c>
      <c r="Y93" s="92">
        <f>(5*((0.001+X!H$3*SQRT(MP5!D$6+U93)*(MP5!D$5+V93))-(0.001+X!H$3*SQRT(MP5!D$6)*(MP5!D$5))))+T93</f>
        <v>6.213347002444074</v>
      </c>
      <c r="Z93" s="89">
        <f>(5*((0.001+X!H$3*SQRT(MP5!E$6+(U93*IF(EXACT("Yes",MP5!H$15),1.1,1)))*(MP5!E$5+(V93*IF(EXACT("Yes",MP5!H$15),1.1,1))))-(0.001+X!H$3*SQRT(MP5!E$6)*(MP5!E$5))))+T93</f>
        <v>8.696699583634953</v>
      </c>
      <c r="AA93" s="81">
        <f t="shared" si="57"/>
        <v>3.1660041007332227</v>
      </c>
      <c r="AB93" s="89">
        <f t="shared" si="58"/>
        <v>4.429009875090486</v>
      </c>
      <c r="AC93" s="92">
        <f>F93+(J93*I$3)+(K93*I$4)+(L93*I$5)+(M93*I$6)+IF(EXACT("Y",S93),P93,0)+(IF(EXACT("Human",MP5!H$13),(((IF(EXACT("Y",S93),O93,0)+(J93*K$3)+(K93*K$4)+(L93*K$5)+(M93*K$6)+E93)*1.1)*IF(EXACT("Yes",MP5!H$8),1.05,1)*(0.05*C$5)),((IF(EXACT("Y",S93),O93,0)+(J93*K$3)+(K93*K$4)+(L93*K$5)+(M93*K$6)+E93)*IF(EXACT("Yes",MP5!H$8),1.05,1)*(0.05*C$5))))</f>
        <v>50</v>
      </c>
      <c r="AD93" s="89">
        <f>F93+(J93*I$3)+(K93*I$4)+(L93*I$5)+(M93*I$6)+IF(EXACT("Y",S93),P93,0)+((IF(EXACT("Human",MP5!H$13),(((IF(EXACT("Y",S93),O93,0)+(J93*K$3)+(K93*K$4)+(L93*K$5)+(M93*K$6)+E93)*1.1)*IF(EXACT("Yes",MP5!H$8),1.05,1)*(0.05*C$5)),((IF(EXACT("Y",S93),O93,0)+(J93*K$3)+(K93*K$4)+(L93*K$5)+(M93*K$6)+E93)*IF(EXACT("Yes",MP5!H$8),1.05,1)*(0.05*C$5))))*IF(EXACT("Yes",MP5!H$15),1.1,1))</f>
        <v>50</v>
      </c>
    </row>
    <row r="94" spans="1:30" ht="12.75">
      <c r="A94" s="51">
        <f t="shared" si="52"/>
        <v>0</v>
      </c>
      <c r="B94" s="50"/>
      <c r="C94" s="49"/>
      <c r="D94" s="48"/>
      <c r="E94" s="48"/>
      <c r="F94" s="48"/>
      <c r="G94" s="48"/>
      <c r="H94" s="48"/>
      <c r="I94" s="48"/>
      <c r="J94" s="49"/>
      <c r="K94" s="48"/>
      <c r="L94" s="48"/>
      <c r="M94" s="48"/>
      <c r="N94" s="49"/>
      <c r="O94" s="48"/>
      <c r="P94" s="48"/>
      <c r="Q94" s="48"/>
      <c r="R94" s="47">
        <f t="shared" si="51"/>
        <v>0</v>
      </c>
      <c r="S94" s="51" t="str">
        <f t="shared" si="53"/>
        <v>N</v>
      </c>
      <c r="T94" s="52">
        <f t="shared" si="54"/>
        <v>0</v>
      </c>
      <c r="U94" s="51">
        <f t="shared" si="55"/>
        <v>0</v>
      </c>
      <c r="V94" s="51">
        <f t="shared" si="56"/>
        <v>0</v>
      </c>
      <c r="W94" s="92">
        <f>(ROUNDDOWN((Y94-T94)*X!B$8,2))+T94</f>
        <v>0</v>
      </c>
      <c r="X94" s="89">
        <f>(ROUNDDOWN((Z94-T94)*X!B$8,2))+T94</f>
        <v>0</v>
      </c>
      <c r="Y94" s="92">
        <f>(5*((0.001+X!H$3*SQRT(MP5!D$6+U94)*(MP5!D$5+V94))-(0.001+X!H$3*SQRT(MP5!D$6)*(MP5!D$5))))+T94</f>
        <v>0</v>
      </c>
      <c r="Z94" s="89">
        <f>(5*((0.001+X!H$3*SQRT(MP5!E$6+(U94*IF(EXACT("Yes",MP5!H$15),1.1,1)))*(MP5!E$5+(V94*IF(EXACT("Yes",MP5!H$15),1.1,1))))-(0.001+X!H$3*SQRT(MP5!E$6)*(MP5!E$5))))+T94</f>
        <v>0</v>
      </c>
      <c r="AA94" s="81">
        <f t="shared" si="57"/>
        <v>0</v>
      </c>
      <c r="AB94" s="89">
        <f t="shared" si="58"/>
        <v>0</v>
      </c>
      <c r="AC94" s="92">
        <f>F94+(J94*I$3)+(K94*I$4)+(L94*I$5)+(M94*I$6)+IF(EXACT("Y",S94),P94,0)+(IF(EXACT("Human",MP5!H$13),(((IF(EXACT("Y",S94),O94,0)+(J94*K$3)+(K94*K$4)+(L94*K$5)+(M94*K$6)+E94)*1.1)*IF(EXACT("Yes",MP5!H$8),1.05,1)*(0.05*C$5)),((IF(EXACT("Y",S94),O94,0)+(J94*K$3)+(K94*K$4)+(L94*K$5)+(M94*K$6)+E94)*IF(EXACT("Yes",MP5!H$8),1.05,1)*(0.05*C$5))))</f>
        <v>0</v>
      </c>
      <c r="AD94" s="89">
        <f>F94+(J94*I$3)+(K94*I$4)+(L94*I$5)+(M94*I$6)+IF(EXACT("Y",S94),P94,0)+((IF(EXACT("Human",MP5!H$13),(((IF(EXACT("Y",S94),O94,0)+(J94*K$3)+(K94*K$4)+(L94*K$5)+(M94*K$6)+E94)*1.1)*IF(EXACT("Yes",MP5!H$8),1.05,1)*(0.05*C$5)),((IF(EXACT("Y",S94),O94,0)+(J94*K$3)+(K94*K$4)+(L94*K$5)+(M94*K$6)+E94)*IF(EXACT("Yes",MP5!H$8),1.05,1)*(0.05*C$5))))*IF(EXACT("Yes",MP5!H$15),1.1,1))</f>
        <v>0</v>
      </c>
    </row>
    <row r="95" spans="1:30" ht="12.75">
      <c r="A95" s="51">
        <f t="shared" si="52"/>
        <v>0</v>
      </c>
      <c r="B95" s="50"/>
      <c r="C95" s="49"/>
      <c r="D95" s="48"/>
      <c r="E95" s="48"/>
      <c r="F95" s="48"/>
      <c r="G95" s="48"/>
      <c r="H95" s="48"/>
      <c r="I95" s="48"/>
      <c r="J95" s="49"/>
      <c r="K95" s="48"/>
      <c r="L95" s="48"/>
      <c r="M95" s="48"/>
      <c r="N95" s="49"/>
      <c r="O95" s="48"/>
      <c r="P95" s="48"/>
      <c r="Q95" s="48"/>
      <c r="R95" s="47">
        <f t="shared" si="51"/>
        <v>0</v>
      </c>
      <c r="S95" s="51" t="str">
        <f t="shared" si="53"/>
        <v>N</v>
      </c>
      <c r="T95" s="52">
        <f t="shared" si="54"/>
        <v>0</v>
      </c>
      <c r="U95" s="51">
        <f t="shared" si="55"/>
        <v>0</v>
      </c>
      <c r="V95" s="51">
        <f t="shared" si="56"/>
        <v>0</v>
      </c>
      <c r="W95" s="92">
        <f>(ROUNDDOWN((Y95-T95)*X!B$8,2))+T95</f>
        <v>0</v>
      </c>
      <c r="X95" s="89">
        <f>(ROUNDDOWN((Z95-T95)*X!B$8,2))+T95</f>
        <v>0</v>
      </c>
      <c r="Y95" s="92">
        <f>(5*((0.001+X!H$3*SQRT(MP5!D$6+U95)*(MP5!D$5+V95))-(0.001+X!H$3*SQRT(MP5!D$6)*(MP5!D$5))))+T95</f>
        <v>0</v>
      </c>
      <c r="Z95" s="89">
        <f>(5*((0.001+X!H$3*SQRT(MP5!E$6+(U95*IF(EXACT("Yes",MP5!H$15),1.1,1)))*(MP5!E$5+(V95*IF(EXACT("Yes",MP5!H$15),1.1,1))))-(0.001+X!H$3*SQRT(MP5!E$6)*(MP5!E$5))))+T95</f>
        <v>0</v>
      </c>
      <c r="AA95" s="81">
        <f t="shared" si="57"/>
        <v>0</v>
      </c>
      <c r="AB95" s="89">
        <f t="shared" si="58"/>
        <v>0</v>
      </c>
      <c r="AC95" s="92">
        <f>F95+(J95*I$3)+(K95*I$4)+(L95*I$5)+(M95*I$6)+IF(EXACT("Y",S95),P95,0)+(IF(EXACT("Human",MP5!H$13),(((IF(EXACT("Y",S95),O95,0)+(J95*K$3)+(K95*K$4)+(L95*K$5)+(M95*K$6)+E95)*1.1)*IF(EXACT("Yes",MP5!H$8),1.05,1)*(0.05*C$5)),((IF(EXACT("Y",S95),O95,0)+(J95*K$3)+(K95*K$4)+(L95*K$5)+(M95*K$6)+E95)*IF(EXACT("Yes",MP5!H$8),1.05,1)*(0.05*C$5))))</f>
        <v>0</v>
      </c>
      <c r="AD95" s="89">
        <f>F95+(J95*I$3)+(K95*I$4)+(L95*I$5)+(M95*I$6)+IF(EXACT("Y",S95),P95,0)+((IF(EXACT("Human",MP5!H$13),(((IF(EXACT("Y",S95),O95,0)+(J95*K$3)+(K95*K$4)+(L95*K$5)+(M95*K$6)+E95)*1.1)*IF(EXACT("Yes",MP5!H$8),1.05,1)*(0.05*C$5)),((IF(EXACT("Y",S95),O95,0)+(J95*K$3)+(K95*K$4)+(L95*K$5)+(M95*K$6)+E95)*IF(EXACT("Yes",MP5!H$8),1.05,1)*(0.05*C$5))))*IF(EXACT("Yes",MP5!H$15),1.1,1))</f>
        <v>0</v>
      </c>
    </row>
    <row r="96" spans="1:30" ht="12.75">
      <c r="A96" s="59" t="s">
        <v>77</v>
      </c>
      <c r="B96" s="63" t="s">
        <v>139</v>
      </c>
      <c r="C96" s="62" t="s">
        <v>75</v>
      </c>
      <c r="D96" s="60" t="s">
        <v>68</v>
      </c>
      <c r="E96" s="60" t="s">
        <v>67</v>
      </c>
      <c r="F96" s="60" t="s">
        <v>66</v>
      </c>
      <c r="G96" s="60" t="s">
        <v>74</v>
      </c>
      <c r="H96" s="60" t="s">
        <v>65</v>
      </c>
      <c r="I96" s="60" t="s">
        <v>73</v>
      </c>
      <c r="J96" s="61" t="s">
        <v>72</v>
      </c>
      <c r="K96" s="59" t="s">
        <v>71</v>
      </c>
      <c r="L96" s="59" t="s">
        <v>70</v>
      </c>
      <c r="M96" s="59" t="s">
        <v>69</v>
      </c>
      <c r="N96" s="61" t="s">
        <v>68</v>
      </c>
      <c r="O96" s="59" t="s">
        <v>67</v>
      </c>
      <c r="P96" s="60" t="s">
        <v>66</v>
      </c>
      <c r="Q96" s="59" t="s">
        <v>65</v>
      </c>
      <c r="R96" s="47">
        <f t="shared" si="51"/>
        <v>3</v>
      </c>
      <c r="S96" s="59" t="s">
        <v>64</v>
      </c>
      <c r="T96" s="61" t="s">
        <v>65</v>
      </c>
      <c r="U96" s="59" t="s">
        <v>68</v>
      </c>
      <c r="V96" s="59" t="s">
        <v>67</v>
      </c>
      <c r="W96" s="90" t="s">
        <v>1</v>
      </c>
      <c r="X96" s="91" t="s">
        <v>2</v>
      </c>
      <c r="Y96" s="90" t="s">
        <v>1</v>
      </c>
      <c r="Z96" s="91" t="s">
        <v>2</v>
      </c>
      <c r="AA96" s="59" t="s">
        <v>1</v>
      </c>
      <c r="AB96" s="59" t="s">
        <v>2</v>
      </c>
      <c r="AC96" s="90" t="s">
        <v>1</v>
      </c>
      <c r="AD96" s="91" t="s">
        <v>2</v>
      </c>
    </row>
    <row r="97" spans="1:30" ht="12.75">
      <c r="A97" s="51">
        <f aca="true" t="shared" si="59" ref="A97:A110">C97*W$6+D97*Z$3+E97*Y$3+F97*X$3+H97*W$3+J97*X$6+K97*Z$6+L97*Y$6+G97*W$9+I97*AH116+M97*Z$9+(IF(S97="Y",((P97*X$3)+(Q97*W$3)+(O97*Y$3)+(N97*Z$3)),0))</f>
        <v>148.4</v>
      </c>
      <c r="B97" s="50" t="s">
        <v>138</v>
      </c>
      <c r="C97" s="49">
        <v>27</v>
      </c>
      <c r="D97" s="48">
        <v>24</v>
      </c>
      <c r="E97" s="48"/>
      <c r="F97" s="48">
        <v>73</v>
      </c>
      <c r="G97" s="48"/>
      <c r="H97" s="48">
        <v>13</v>
      </c>
      <c r="I97" s="48"/>
      <c r="J97" s="49"/>
      <c r="K97" s="48"/>
      <c r="L97" s="48"/>
      <c r="M97" s="48"/>
      <c r="N97" s="49"/>
      <c r="O97" s="48"/>
      <c r="P97" s="48"/>
      <c r="Q97" s="48"/>
      <c r="R97" s="47">
        <f t="shared" si="51"/>
        <v>0</v>
      </c>
      <c r="S97" s="51" t="str">
        <f aca="true" t="shared" si="60" ref="S97:S110">IF(R97&gt;0,"Y","N")</f>
        <v>N</v>
      </c>
      <c r="T97" s="52">
        <f aca="true" t="shared" si="61" ref="T97:T110">H97+(J97*H$3)+(K97*H$4)+(L97*H$5)+(M97*H$6)+IF(EXACT("Y",S97),Q97,0)</f>
        <v>13</v>
      </c>
      <c r="U97" s="51">
        <f aca="true" t="shared" si="62" ref="U97:U110">(D97+(J97*J$3)+(K97*J$4)+(L97*J$5)+(M97*J$6)+IF(EXACT("Y",S97),N97,0))*(1+C$6)</f>
        <v>24</v>
      </c>
      <c r="V97" s="51">
        <f aca="true" t="shared" si="63" ref="V97:V110">((((E97+(J97*K$3)+(K97*K$4)+(L97*K$5)+(M97*K$6)+IF(EXACT("Y",S97),O97,0))*IF(EXACT("Yes",C$3),1.1,1))*IF(EXACT("Yes",C$4),1.05,1)))*(1+C$6)</f>
        <v>0</v>
      </c>
      <c r="W97" s="92">
        <f>(ROUNDDOWN((Y97-T97)*X!B$8,2))+T97</f>
        <v>15.03</v>
      </c>
      <c r="X97" s="89">
        <f>(ROUNDDOWN((Z97-T97)*X!B$8,2))+T97</f>
        <v>15.84</v>
      </c>
      <c r="Y97" s="92">
        <f>(5*((0.001+X!H$3*SQRT(MP5!D$6+U97)*(MP5!D$5+V97))-(0.001+X!H$3*SQRT(MP5!D$6)*(MP5!D$5))))+T97</f>
        <v>19.771314356889384</v>
      </c>
      <c r="Z97" s="89">
        <f>(5*((0.001+X!H$3*SQRT(MP5!E$6+(U97*IF(EXACT("Yes",MP5!H$15),1.1,1)))*(MP5!E$5+(V97*IF(EXACT("Yes",MP5!H$15),1.1,1))))-(0.001+X!H$3*SQRT(MP5!E$6)*(MP5!E$5))))+T97</f>
        <v>22.478399309096872</v>
      </c>
      <c r="AA97" s="81">
        <f aca="true" t="shared" si="64" ref="AA97:AA110">((Y97-W97)*(1-C$7))+W97</f>
        <v>16.452394307066815</v>
      </c>
      <c r="AB97" s="89">
        <f aca="true" t="shared" si="65" ref="AB97:AB110">((Z97-X97)*(1-C$7))+X97</f>
        <v>17.83151979272906</v>
      </c>
      <c r="AC97" s="92">
        <f>F97+(J97*I$3)+(K97*I$4)+(L97*I$5)+(M97*I$6)+IF(EXACT("Y",S97),P97,0)+(IF(EXACT("Human",MP5!H$13),(((IF(EXACT("Y",S97),O97,0)+(J97*K$3)+(K97*K$4)+(L97*K$5)+(M97*K$6)+E97)*1.1)*IF(EXACT("Yes",MP5!H$8),1.05,1)*(0.05*C$5)),((IF(EXACT("Y",S97),O97,0)+(J97*K$3)+(K97*K$4)+(L97*K$5)+(M97*K$6)+E97)*IF(EXACT("Yes",MP5!H$8),1.05,1)*(0.05*C$5))))</f>
        <v>73</v>
      </c>
      <c r="AD97" s="89">
        <f>F97+(J97*I$3)+(K97*I$4)+(L97*I$5)+(M97*I$6)+IF(EXACT("Y",S97),P97,0)+((IF(EXACT("Human",MP5!H$13),(((IF(EXACT("Y",S97),O97,0)+(J97*K$3)+(K97*K$4)+(L97*K$5)+(M97*K$6)+E97)*1.1)*IF(EXACT("Yes",MP5!H$8),1.05,1)*(0.05*C$5)),((IF(EXACT("Y",S97),O97,0)+(J97*K$3)+(K97*K$4)+(L97*K$5)+(M97*K$6)+E97)*IF(EXACT("Yes",MP5!H$8),1.05,1)*(0.05*C$5))))*IF(EXACT("Yes",MP5!H$15),1.1,1))</f>
        <v>73</v>
      </c>
    </row>
    <row r="98" spans="1:30" ht="12.75">
      <c r="A98" s="51">
        <f t="shared" si="59"/>
        <v>140</v>
      </c>
      <c r="B98" s="53" t="s">
        <v>135</v>
      </c>
      <c r="C98" s="52">
        <v>27</v>
      </c>
      <c r="D98" s="51">
        <v>16</v>
      </c>
      <c r="E98" s="51">
        <v>20</v>
      </c>
      <c r="F98" s="48">
        <v>79</v>
      </c>
      <c r="G98" s="51"/>
      <c r="H98" s="51"/>
      <c r="I98" s="51"/>
      <c r="J98" s="52"/>
      <c r="K98" s="51"/>
      <c r="L98" s="51"/>
      <c r="M98" s="51"/>
      <c r="N98" s="52"/>
      <c r="O98" s="51"/>
      <c r="P98" s="51"/>
      <c r="Q98" s="51"/>
      <c r="R98" s="47">
        <f t="shared" si="51"/>
        <v>0</v>
      </c>
      <c r="S98" s="51" t="str">
        <f t="shared" si="60"/>
        <v>N</v>
      </c>
      <c r="T98" s="52">
        <f t="shared" si="61"/>
        <v>0</v>
      </c>
      <c r="U98" s="51">
        <f t="shared" si="62"/>
        <v>16</v>
      </c>
      <c r="V98" s="51">
        <f t="shared" si="63"/>
        <v>23.1</v>
      </c>
      <c r="W98" s="92">
        <f>(ROUNDDOWN((Y98-T98)*X!B$8,2))+T98</f>
        <v>8.52</v>
      </c>
      <c r="X98" s="89">
        <f>(ROUNDDOWN((Z98-T98)*X!B$8,2))+T98</f>
        <v>10.49</v>
      </c>
      <c r="Y98" s="92">
        <f>(5*((0.001+X!H$3*SQRT(MP5!D$6+U98)*(MP5!D$5+V98))-(0.001+X!H$3*SQRT(MP5!D$6)*(MP5!D$5))))+T98</f>
        <v>28.403350163853567</v>
      </c>
      <c r="Z98" s="89">
        <f>(5*((0.001+X!H$3*SQRT(MP5!E$6+(U98*IF(EXACT("Yes",MP5!H$15),1.1,1)))*(MP5!E$5+(V98*IF(EXACT("Yes",MP5!H$15),1.1,1))))-(0.001+X!H$3*SQRT(MP5!E$6)*(MP5!E$5))))+T98</f>
        <v>34.9819836336831</v>
      </c>
      <c r="AA98" s="81">
        <f t="shared" si="64"/>
        <v>14.48500504915607</v>
      </c>
      <c r="AB98" s="89">
        <f t="shared" si="65"/>
        <v>17.83759509010493</v>
      </c>
      <c r="AC98" s="92">
        <f>F98+(J98*I$3)+(K98*I$4)+(L98*I$5)+(M98*I$6)+IF(EXACT("Y",S98),P98,0)+(IF(EXACT("Human",MP5!H$13),(((IF(EXACT("Y",S98),O98,0)+(J98*K$3)+(K98*K$4)+(L98*K$5)+(M98*K$6)+E98)*1.1)*IF(EXACT("Yes",MP5!H$8),1.05,1)*(0.05*C$5)),((IF(EXACT("Y",S98),O98,0)+(J98*K$3)+(K98*K$4)+(L98*K$5)+(M98*K$6)+E98)*IF(EXACT("Yes",MP5!H$8),1.05,1)*(0.05*C$5))))</f>
        <v>84</v>
      </c>
      <c r="AD98" s="89">
        <f>F98+(J98*I$3)+(K98*I$4)+(L98*I$5)+(M98*I$6)+IF(EXACT("Y",S98),P98,0)+((IF(EXACT("Human",MP5!H$13),(((IF(EXACT("Y",S98),O98,0)+(J98*K$3)+(K98*K$4)+(L98*K$5)+(M98*K$6)+E98)*1.1)*IF(EXACT("Yes",MP5!H$8),1.05,1)*(0.05*C$5)),((IF(EXACT("Y",S98),O98,0)+(J98*K$3)+(K98*K$4)+(L98*K$5)+(M98*K$6)+E98)*IF(EXACT("Yes",MP5!H$8),1.05,1)*(0.05*C$5))))*IF(EXACT("Yes",MP5!H$15),1.1,1))</f>
        <v>84.5</v>
      </c>
    </row>
    <row r="99" spans="1:30" ht="12.75">
      <c r="A99" s="51">
        <f t="shared" si="59"/>
        <v>135.5</v>
      </c>
      <c r="B99" s="53" t="s">
        <v>130</v>
      </c>
      <c r="C99" s="52">
        <v>24</v>
      </c>
      <c r="D99" s="51">
        <v>23</v>
      </c>
      <c r="E99" s="51"/>
      <c r="F99" s="51">
        <v>68</v>
      </c>
      <c r="G99" s="51">
        <v>32</v>
      </c>
      <c r="H99" s="51"/>
      <c r="I99" s="51"/>
      <c r="J99" s="52"/>
      <c r="K99" s="51"/>
      <c r="L99" s="51"/>
      <c r="M99" s="51"/>
      <c r="N99" s="52"/>
      <c r="O99" s="51"/>
      <c r="P99" s="51"/>
      <c r="Q99" s="51"/>
      <c r="R99" s="47">
        <f t="shared" si="51"/>
        <v>0</v>
      </c>
      <c r="S99" s="51" t="str">
        <f t="shared" si="60"/>
        <v>N</v>
      </c>
      <c r="T99" s="52">
        <f t="shared" si="61"/>
        <v>0</v>
      </c>
      <c r="U99" s="51">
        <f t="shared" si="62"/>
        <v>23</v>
      </c>
      <c r="V99" s="51">
        <f t="shared" si="63"/>
        <v>0</v>
      </c>
      <c r="W99" s="92">
        <f>(ROUNDDOWN((Y99-T99)*X!B$8,2))+T99</f>
        <v>1.94</v>
      </c>
      <c r="X99" s="89">
        <f>(ROUNDDOWN((Z99-T99)*X!B$8,2))+T99</f>
        <v>2.72</v>
      </c>
      <c r="Y99" s="92">
        <f>(5*((0.001+X!H$3*SQRT(MP5!D$6+U99)*(MP5!D$5+V99))-(0.001+X!H$3*SQRT(MP5!D$6)*(MP5!D$5))))+T99</f>
        <v>6.492470731819395</v>
      </c>
      <c r="Z99" s="89">
        <f>(5*((0.001+X!H$3*SQRT(MP5!E$6+(U99*IF(EXACT("Yes",MP5!H$15),1.1,1)))*(MP5!E$5+(V99*IF(EXACT("Yes",MP5!H$15),1.1,1))))-(0.001+X!H$3*SQRT(MP5!E$6)*(MP5!E$5))))+T99</f>
        <v>9.087731068167031</v>
      </c>
      <c r="AA99" s="81">
        <f t="shared" si="64"/>
        <v>3.305741219545819</v>
      </c>
      <c r="AB99" s="89">
        <f t="shared" si="65"/>
        <v>4.630319320450109</v>
      </c>
      <c r="AC99" s="92">
        <f>F99+(J99*I$3)+(K99*I$4)+(L99*I$5)+(M99*I$6)+IF(EXACT("Y",S99),P99,0)+(IF(EXACT("Human",MP5!H$13),(((IF(EXACT("Y",S99),O99,0)+(J99*K$3)+(K99*K$4)+(L99*K$5)+(M99*K$6)+E99)*1.1)*IF(EXACT("Yes",MP5!H$8),1.05,1)*(0.05*C$5)),((IF(EXACT("Y",S99),O99,0)+(J99*K$3)+(K99*K$4)+(L99*K$5)+(M99*K$6)+E99)*IF(EXACT("Yes",MP5!H$8),1.05,1)*(0.05*C$5))))</f>
        <v>68</v>
      </c>
      <c r="AD99" s="89">
        <f>F99+(J99*I$3)+(K99*I$4)+(L99*I$5)+(M99*I$6)+IF(EXACT("Y",S99),P99,0)+((IF(EXACT("Human",MP5!H$13),(((IF(EXACT("Y",S99),O99,0)+(J99*K$3)+(K99*K$4)+(L99*K$5)+(M99*K$6)+E99)*1.1)*IF(EXACT("Yes",MP5!H$8),1.05,1)*(0.05*C$5)),((IF(EXACT("Y",S99),O99,0)+(J99*K$3)+(K99*K$4)+(L99*K$5)+(M99*K$6)+E99)*IF(EXACT("Yes",MP5!H$8),1.05,1)*(0.05*C$5))))*IF(EXACT("Yes",MP5!H$15),1.1,1))</f>
        <v>68</v>
      </c>
    </row>
    <row r="100" spans="1:30" ht="12.75">
      <c r="A100" s="51">
        <f t="shared" si="59"/>
        <v>133</v>
      </c>
      <c r="B100" s="53" t="s">
        <v>134</v>
      </c>
      <c r="C100" s="52">
        <v>18</v>
      </c>
      <c r="D100" s="51">
        <v>24</v>
      </c>
      <c r="E100" s="51">
        <v>20</v>
      </c>
      <c r="F100" s="48">
        <v>77</v>
      </c>
      <c r="G100" s="51"/>
      <c r="H100" s="51"/>
      <c r="I100" s="51"/>
      <c r="J100" s="52"/>
      <c r="K100" s="51"/>
      <c r="L100" s="51"/>
      <c r="M100" s="51"/>
      <c r="N100" s="52"/>
      <c r="O100" s="51"/>
      <c r="P100" s="51"/>
      <c r="Q100" s="51"/>
      <c r="R100" s="47">
        <f t="shared" si="51"/>
        <v>0</v>
      </c>
      <c r="S100" s="51" t="str">
        <f t="shared" si="60"/>
        <v>N</v>
      </c>
      <c r="T100" s="52">
        <f t="shared" si="61"/>
        <v>0</v>
      </c>
      <c r="U100" s="51">
        <f t="shared" si="62"/>
        <v>24</v>
      </c>
      <c r="V100" s="51">
        <f t="shared" si="63"/>
        <v>23.1</v>
      </c>
      <c r="W100" s="92">
        <f>(ROUNDDOWN((Y100-T100)*X!B$8,2))+T100</f>
        <v>9.25</v>
      </c>
      <c r="X100" s="89">
        <f>(ROUNDDOWN((Z100-T100)*X!B$8,2))+T100</f>
        <v>11.49</v>
      </c>
      <c r="Y100" s="92">
        <f>(5*((0.001+X!H$3*SQRT(MP5!D$6+U100)*(MP5!D$5+V100))-(0.001+X!H$3*SQRT(MP5!D$6)*(MP5!D$5))))+T100</f>
        <v>30.835669804834254</v>
      </c>
      <c r="Z100" s="89">
        <f>(5*((0.001+X!H$3*SQRT(MP5!E$6+(U100*IF(EXACT("Yes",MP5!H$15),1.1,1)))*(MP5!E$5+(V100*IF(EXACT("Yes",MP5!H$15),1.1,1))))-(0.001+X!H$3*SQRT(MP5!E$6)*(MP5!E$5))))+T100</f>
        <v>38.332488593951695</v>
      </c>
      <c r="AA100" s="81">
        <f t="shared" si="64"/>
        <v>15.725700941450278</v>
      </c>
      <c r="AB100" s="89">
        <f t="shared" si="65"/>
        <v>19.542746578185508</v>
      </c>
      <c r="AC100" s="92">
        <f>F100+(J100*I$3)+(K100*I$4)+(L100*I$5)+(M100*I$6)+IF(EXACT("Y",S100),P100,0)+(IF(EXACT("Human",MP5!H$13),(((IF(EXACT("Y",S100),O100,0)+(J100*K$3)+(K100*K$4)+(L100*K$5)+(M100*K$6)+E100)*1.1)*IF(EXACT("Yes",MP5!H$8),1.05,1)*(0.05*C$5)),((IF(EXACT("Y",S100),O100,0)+(J100*K$3)+(K100*K$4)+(L100*K$5)+(M100*K$6)+E100)*IF(EXACT("Yes",MP5!H$8),1.05,1)*(0.05*C$5))))</f>
        <v>82</v>
      </c>
      <c r="AD100" s="89">
        <f>F100+(J100*I$3)+(K100*I$4)+(L100*I$5)+(M100*I$6)+IF(EXACT("Y",S100),P100,0)+((IF(EXACT("Human",MP5!H$13),(((IF(EXACT("Y",S100),O100,0)+(J100*K$3)+(K100*K$4)+(L100*K$5)+(M100*K$6)+E100)*1.1)*IF(EXACT("Yes",MP5!H$8),1.05,1)*(0.05*C$5)),((IF(EXACT("Y",S100),O100,0)+(J100*K$3)+(K100*K$4)+(L100*K$5)+(M100*K$6)+E100)*IF(EXACT("Yes",MP5!H$8),1.05,1)*(0.05*C$5))))*IF(EXACT("Yes",MP5!H$15),1.1,1))</f>
        <v>82.5</v>
      </c>
    </row>
    <row r="101" spans="1:30" ht="12.75">
      <c r="A101" s="51">
        <f t="shared" si="59"/>
        <v>129.8</v>
      </c>
      <c r="B101" s="53" t="s">
        <v>136</v>
      </c>
      <c r="C101" s="52">
        <v>24</v>
      </c>
      <c r="D101" s="51">
        <v>22</v>
      </c>
      <c r="E101" s="51"/>
      <c r="F101" s="48">
        <v>64</v>
      </c>
      <c r="G101" s="51"/>
      <c r="H101" s="51">
        <v>11</v>
      </c>
      <c r="I101" s="51"/>
      <c r="J101" s="52"/>
      <c r="K101" s="51"/>
      <c r="L101" s="51"/>
      <c r="M101" s="51"/>
      <c r="N101" s="52"/>
      <c r="O101" s="51"/>
      <c r="P101" s="51"/>
      <c r="Q101" s="51"/>
      <c r="R101" s="47">
        <f t="shared" si="51"/>
        <v>0</v>
      </c>
      <c r="S101" s="51" t="str">
        <f t="shared" si="60"/>
        <v>N</v>
      </c>
      <c r="T101" s="52">
        <f t="shared" si="61"/>
        <v>11</v>
      </c>
      <c r="U101" s="51">
        <f t="shared" si="62"/>
        <v>22</v>
      </c>
      <c r="V101" s="51">
        <f t="shared" si="63"/>
        <v>0</v>
      </c>
      <c r="W101" s="92">
        <f>(ROUNDDOWN((Y101-T101)*X!B$8,2))+T101</f>
        <v>12.86</v>
      </c>
      <c r="X101" s="89">
        <f>(ROUNDDOWN((Z101-T101)*X!B$8,2))+T101</f>
        <v>13.6</v>
      </c>
      <c r="Y101" s="92">
        <f>(5*((0.001+X!H$3*SQRT(MP5!D$6+U101)*(MP5!D$5+V101))-(0.001+X!H$3*SQRT(MP5!D$6)*(MP5!D$5))))+T101</f>
        <v>17.213347002444074</v>
      </c>
      <c r="Z101" s="89">
        <f>(5*((0.001+X!H$3*SQRT(MP5!E$6+(U101*IF(EXACT("Yes",MP5!H$15),1.1,1)))*(MP5!E$5+(V101*IF(EXACT("Yes",MP5!H$15),1.1,1))))-(0.001+X!H$3*SQRT(MP5!E$6)*(MP5!E$5))))+T101</f>
        <v>19.696699583634953</v>
      </c>
      <c r="AA101" s="81">
        <f t="shared" si="64"/>
        <v>14.166004100733222</v>
      </c>
      <c r="AB101" s="89">
        <f t="shared" si="65"/>
        <v>15.429009875090486</v>
      </c>
      <c r="AC101" s="92">
        <f>F101+(J101*I$3)+(K101*I$4)+(L101*I$5)+(M101*I$6)+IF(EXACT("Y",S101),P101,0)+(IF(EXACT("Human",MP5!H$13),(((IF(EXACT("Y",S101),O101,0)+(J101*K$3)+(K101*K$4)+(L101*K$5)+(M101*K$6)+E101)*1.1)*IF(EXACT("Yes",MP5!H$8),1.05,1)*(0.05*C$5)),((IF(EXACT("Y",S101),O101,0)+(J101*K$3)+(K101*K$4)+(L101*K$5)+(M101*K$6)+E101)*IF(EXACT("Yes",MP5!H$8),1.05,1)*(0.05*C$5))))</f>
        <v>64</v>
      </c>
      <c r="AD101" s="89">
        <f>F101+(J101*I$3)+(K101*I$4)+(L101*I$5)+(M101*I$6)+IF(EXACT("Y",S101),P101,0)+((IF(EXACT("Human",MP5!H$13),(((IF(EXACT("Y",S101),O101,0)+(J101*K$3)+(K101*K$4)+(L101*K$5)+(M101*K$6)+E101)*1.1)*IF(EXACT("Yes",MP5!H$8),1.05,1)*(0.05*C$5)),((IF(EXACT("Y",S101),O101,0)+(J101*K$3)+(K101*K$4)+(L101*K$5)+(M101*K$6)+E101)*IF(EXACT("Yes",MP5!H$8),1.05,1)*(0.05*C$5))))*IF(EXACT("Yes",MP5!H$15),1.1,1))</f>
        <v>64</v>
      </c>
    </row>
    <row r="102" spans="1:30" ht="12.75">
      <c r="A102" s="51">
        <f t="shared" si="59"/>
        <v>109.3</v>
      </c>
      <c r="B102" s="53" t="s">
        <v>133</v>
      </c>
      <c r="C102" s="52">
        <v>34</v>
      </c>
      <c r="D102" s="51">
        <v>15</v>
      </c>
      <c r="E102" s="51"/>
      <c r="F102" s="48">
        <v>51</v>
      </c>
      <c r="G102" s="51"/>
      <c r="H102" s="51">
        <v>6</v>
      </c>
      <c r="I102" s="51"/>
      <c r="J102" s="52"/>
      <c r="K102" s="51"/>
      <c r="L102" s="51"/>
      <c r="M102" s="51"/>
      <c r="N102" s="52"/>
      <c r="O102" s="51"/>
      <c r="P102" s="51"/>
      <c r="Q102" s="51"/>
      <c r="R102" s="47">
        <f t="shared" si="51"/>
        <v>0</v>
      </c>
      <c r="S102" s="51" t="str">
        <f t="shared" si="60"/>
        <v>N</v>
      </c>
      <c r="T102" s="52">
        <f t="shared" si="61"/>
        <v>6</v>
      </c>
      <c r="U102" s="51">
        <f t="shared" si="62"/>
        <v>15</v>
      </c>
      <c r="V102" s="51">
        <f t="shared" si="63"/>
        <v>0</v>
      </c>
      <c r="W102" s="92">
        <f>(ROUNDDOWN((Y102-T102)*X!B$8,2))+T102</f>
        <v>7.27</v>
      </c>
      <c r="X102" s="89">
        <f>(ROUNDDOWN((Z102-T102)*X!B$8,2))+T102</f>
        <v>7.78</v>
      </c>
      <c r="Y102" s="92">
        <f>(5*((0.001+X!H$3*SQRT(MP5!D$6+U102)*(MP5!D$5+V102))-(0.001+X!H$3*SQRT(MP5!D$6)*(MP5!D$5))))+T102</f>
        <v>10.251566386823171</v>
      </c>
      <c r="Z102" s="89">
        <f>(5*((0.001+X!H$3*SQRT(MP5!E$6+(U102*IF(EXACT("Yes",MP5!H$15),1.1,1)))*(MP5!E$5+(V102*IF(EXACT("Yes",MP5!H$15),1.1,1))))-(0.001+X!H$3*SQRT(MP5!E$6)*(MP5!E$5))))+T102</f>
        <v>11.949222500137452</v>
      </c>
      <c r="AA102" s="81">
        <f t="shared" si="64"/>
        <v>8.16446991604695</v>
      </c>
      <c r="AB102" s="89">
        <f t="shared" si="65"/>
        <v>9.030766750041236</v>
      </c>
      <c r="AC102" s="92">
        <f>F102+(J102*I$3)+(K102*I$4)+(L102*I$5)+(M102*I$6)+IF(EXACT("Y",S102),P102,0)+(IF(EXACT("Human",MP5!H$13),(((IF(EXACT("Y",S102),O102,0)+(J102*K$3)+(K102*K$4)+(L102*K$5)+(M102*K$6)+E102)*1.1)*IF(EXACT("Yes",MP5!H$8),1.05,1)*(0.05*C$5)),((IF(EXACT("Y",S102),O102,0)+(J102*K$3)+(K102*K$4)+(L102*K$5)+(M102*K$6)+E102)*IF(EXACT("Yes",MP5!H$8),1.05,1)*(0.05*C$5))))</f>
        <v>51</v>
      </c>
      <c r="AD102" s="89">
        <f>F102+(J102*I$3)+(K102*I$4)+(L102*I$5)+(M102*I$6)+IF(EXACT("Y",S102),P102,0)+((IF(EXACT("Human",MP5!H$13),(((IF(EXACT("Y",S102),O102,0)+(J102*K$3)+(K102*K$4)+(L102*K$5)+(M102*K$6)+E102)*1.1)*IF(EXACT("Yes",MP5!H$8),1.05,1)*(0.05*C$5)),((IF(EXACT("Y",S102),O102,0)+(J102*K$3)+(K102*K$4)+(L102*K$5)+(M102*K$6)+E102)*IF(EXACT("Yes",MP5!H$8),1.05,1)*(0.05*C$5))))*IF(EXACT("Yes",MP5!H$15),1.1,1))</f>
        <v>51</v>
      </c>
    </row>
    <row r="103" spans="1:30" ht="12.75">
      <c r="A103" s="51">
        <f t="shared" si="59"/>
        <v>108.5</v>
      </c>
      <c r="B103" s="50" t="s">
        <v>137</v>
      </c>
      <c r="C103" s="49">
        <v>34</v>
      </c>
      <c r="D103" s="48">
        <v>15</v>
      </c>
      <c r="E103" s="48"/>
      <c r="F103" s="48">
        <v>51</v>
      </c>
      <c r="G103" s="48">
        <v>16</v>
      </c>
      <c r="H103" s="48"/>
      <c r="I103" s="48"/>
      <c r="J103" s="49"/>
      <c r="K103" s="48"/>
      <c r="L103" s="48"/>
      <c r="M103" s="48"/>
      <c r="N103" s="49"/>
      <c r="O103" s="48"/>
      <c r="P103" s="48"/>
      <c r="Q103" s="48"/>
      <c r="R103" s="47">
        <f t="shared" si="51"/>
        <v>0</v>
      </c>
      <c r="S103" s="51" t="str">
        <f t="shared" si="60"/>
        <v>N</v>
      </c>
      <c r="T103" s="52">
        <f t="shared" si="61"/>
        <v>0</v>
      </c>
      <c r="U103" s="51">
        <f t="shared" si="62"/>
        <v>15</v>
      </c>
      <c r="V103" s="51">
        <f t="shared" si="63"/>
        <v>0</v>
      </c>
      <c r="W103" s="92">
        <f>(ROUNDDOWN((Y103-T103)*X!B$8,2))+T103</f>
        <v>1.27</v>
      </c>
      <c r="X103" s="89">
        <f>(ROUNDDOWN((Z103-T103)*X!B$8,2))+T103</f>
        <v>1.78</v>
      </c>
      <c r="Y103" s="92">
        <f>(5*((0.001+X!H$3*SQRT(MP5!D$6+U103)*(MP5!D$5+V103))-(0.001+X!H$3*SQRT(MP5!D$6)*(MP5!D$5))))+T103</f>
        <v>4.251566386823171</v>
      </c>
      <c r="Z103" s="89">
        <f>(5*((0.001+X!H$3*SQRT(MP5!E$6+(U103*IF(EXACT("Yes",MP5!H$15),1.1,1)))*(MP5!E$5+(V103*IF(EXACT("Yes",MP5!H$15),1.1,1))))-(0.001+X!H$3*SQRT(MP5!E$6)*(MP5!E$5))))+T103</f>
        <v>5.949222500137452</v>
      </c>
      <c r="AA103" s="81">
        <f t="shared" si="64"/>
        <v>2.1644699160469516</v>
      </c>
      <c r="AB103" s="89">
        <f t="shared" si="65"/>
        <v>3.030766750041236</v>
      </c>
      <c r="AC103" s="92">
        <f>F103+(J103*I$3)+(K103*I$4)+(L103*I$5)+(M103*I$6)+IF(EXACT("Y",S103),P103,0)+(IF(EXACT("Human",MP5!H$13),(((IF(EXACT("Y",S103),O103,0)+(J103*K$3)+(K103*K$4)+(L103*K$5)+(M103*K$6)+E103)*1.1)*IF(EXACT("Yes",MP5!H$8),1.05,1)*(0.05*C$5)),((IF(EXACT("Y",S103),O103,0)+(J103*K$3)+(K103*K$4)+(L103*K$5)+(M103*K$6)+E103)*IF(EXACT("Yes",MP5!H$8),1.05,1)*(0.05*C$5))))</f>
        <v>51</v>
      </c>
      <c r="AD103" s="89">
        <f>F103+(J103*I$3)+(K103*I$4)+(L103*I$5)+(M103*I$6)+IF(EXACT("Y",S103),P103,0)+((IF(EXACT("Human",MP5!H$13),(((IF(EXACT("Y",S103),O103,0)+(J103*K$3)+(K103*K$4)+(L103*K$5)+(M103*K$6)+E103)*1.1)*IF(EXACT("Yes",MP5!H$8),1.05,1)*(0.05*C$5)),((IF(EXACT("Y",S103),O103,0)+(J103*K$3)+(K103*K$4)+(L103*K$5)+(M103*K$6)+E103)*IF(EXACT("Yes",MP5!H$8),1.05,1)*(0.05*C$5))))*IF(EXACT("Yes",MP5!H$15),1.1,1))</f>
        <v>51</v>
      </c>
    </row>
    <row r="104" spans="1:30" ht="12.75">
      <c r="A104" s="51">
        <f t="shared" si="59"/>
        <v>108</v>
      </c>
      <c r="B104" s="53" t="s">
        <v>129</v>
      </c>
      <c r="C104" s="52">
        <v>22</v>
      </c>
      <c r="D104" s="51">
        <v>20</v>
      </c>
      <c r="E104" s="51"/>
      <c r="F104" s="48">
        <v>51</v>
      </c>
      <c r="G104" s="51">
        <v>25</v>
      </c>
      <c r="H104" s="51"/>
      <c r="I104" s="51"/>
      <c r="J104" s="52"/>
      <c r="K104" s="51"/>
      <c r="L104" s="51"/>
      <c r="M104" s="51"/>
      <c r="N104" s="52"/>
      <c r="O104" s="51"/>
      <c r="P104" s="51"/>
      <c r="Q104" s="51"/>
      <c r="R104" s="47">
        <f t="shared" si="51"/>
        <v>0</v>
      </c>
      <c r="S104" s="51" t="str">
        <f t="shared" si="60"/>
        <v>N</v>
      </c>
      <c r="T104" s="52">
        <f t="shared" si="61"/>
        <v>0</v>
      </c>
      <c r="U104" s="51">
        <f t="shared" si="62"/>
        <v>20</v>
      </c>
      <c r="V104" s="51">
        <f t="shared" si="63"/>
        <v>0</v>
      </c>
      <c r="W104" s="92">
        <f>(ROUNDDOWN((Y104-T104)*X!B$8,2))+T104</f>
        <v>1.69</v>
      </c>
      <c r="X104" s="89">
        <f>(ROUNDDOWN((Z104-T104)*X!B$8,2))+T104</f>
        <v>2.37</v>
      </c>
      <c r="Y104" s="92">
        <f>(5*((0.001+X!H$3*SQRT(MP5!D$6+U104)*(MP5!D$5+V104))-(0.001+X!H$3*SQRT(MP5!D$6)*(MP5!D$5))))+T104</f>
        <v>5.65425584326487</v>
      </c>
      <c r="Z104" s="89">
        <f>(5*((0.001+X!H$3*SQRT(MP5!E$6+(U104*IF(EXACT("Yes",MP5!H$15),1.1,1)))*(MP5!E$5+(V104*IF(EXACT("Yes",MP5!H$15),1.1,1))))-(0.001+X!H$3*SQRT(MP5!E$6)*(MP5!E$5))))+T104</f>
        <v>7.913542818544954</v>
      </c>
      <c r="AA104" s="81">
        <f t="shared" si="64"/>
        <v>2.879276752979461</v>
      </c>
      <c r="AB104" s="89">
        <f t="shared" si="65"/>
        <v>4.033062845563487</v>
      </c>
      <c r="AC104" s="92">
        <f>F104+(J104*I$3)+(K104*I$4)+(L104*I$5)+(M104*I$6)+IF(EXACT("Y",S104),P104,0)+(IF(EXACT("Human",MP5!H$13),(((IF(EXACT("Y",S104),O104,0)+(J104*K$3)+(K104*K$4)+(L104*K$5)+(M104*K$6)+E104)*1.1)*IF(EXACT("Yes",MP5!H$8),1.05,1)*(0.05*C$5)),((IF(EXACT("Y",S104),O104,0)+(J104*K$3)+(K104*K$4)+(L104*K$5)+(M104*K$6)+E104)*IF(EXACT("Yes",MP5!H$8),1.05,1)*(0.05*C$5))))</f>
        <v>51</v>
      </c>
      <c r="AD104" s="89">
        <f>F104+(J104*I$3)+(K104*I$4)+(L104*I$5)+(M104*I$6)+IF(EXACT("Y",S104),P104,0)+((IF(EXACT("Human",MP5!H$13),(((IF(EXACT("Y",S104),O104,0)+(J104*K$3)+(K104*K$4)+(L104*K$5)+(M104*K$6)+E104)*1.1)*IF(EXACT("Yes",MP5!H$8),1.05,1)*(0.05*C$5)),((IF(EXACT("Y",S104),O104,0)+(J104*K$3)+(K104*K$4)+(L104*K$5)+(M104*K$6)+E104)*IF(EXACT("Yes",MP5!H$8),1.05,1)*(0.05*C$5))))*IF(EXACT("Yes",MP5!H$15),1.1,1))</f>
        <v>51</v>
      </c>
    </row>
    <row r="105" spans="1:30" ht="12.75">
      <c r="A105" s="51">
        <f t="shared" si="59"/>
        <v>106.1</v>
      </c>
      <c r="B105" s="53" t="s">
        <v>132</v>
      </c>
      <c r="C105" s="52">
        <v>22</v>
      </c>
      <c r="D105" s="51">
        <v>23</v>
      </c>
      <c r="E105" s="51"/>
      <c r="F105" s="51">
        <v>53</v>
      </c>
      <c r="G105" s="51"/>
      <c r="H105" s="51">
        <v>7</v>
      </c>
      <c r="I105" s="51"/>
      <c r="J105" s="52"/>
      <c r="K105" s="51"/>
      <c r="L105" s="51"/>
      <c r="M105" s="51"/>
      <c r="N105" s="52"/>
      <c r="O105" s="51"/>
      <c r="P105" s="51"/>
      <c r="Q105" s="51"/>
      <c r="R105" s="47">
        <f t="shared" si="51"/>
        <v>0</v>
      </c>
      <c r="S105" s="51" t="str">
        <f t="shared" si="60"/>
        <v>N</v>
      </c>
      <c r="T105" s="52">
        <f t="shared" si="61"/>
        <v>7</v>
      </c>
      <c r="U105" s="51">
        <f t="shared" si="62"/>
        <v>23</v>
      </c>
      <c r="V105" s="51">
        <f t="shared" si="63"/>
        <v>0</v>
      </c>
      <c r="W105" s="92">
        <f>(ROUNDDOWN((Y105-T105)*X!B$8,2))+T105</f>
        <v>8.94</v>
      </c>
      <c r="X105" s="89">
        <f>(ROUNDDOWN((Z105-T105)*X!B$8,2))+T105</f>
        <v>9.72</v>
      </c>
      <c r="Y105" s="92">
        <f>(5*((0.001+X!H$3*SQRT(MP5!D$6+U105)*(MP5!D$5+V105))-(0.001+X!H$3*SQRT(MP5!D$6)*(MP5!D$5))))+T105</f>
        <v>13.492470731819395</v>
      </c>
      <c r="Z105" s="89">
        <f>(5*((0.001+X!H$3*SQRT(MP5!E$6+(U105*IF(EXACT("Yes",MP5!H$15),1.1,1)))*(MP5!E$5+(V105*IF(EXACT("Yes",MP5!H$15),1.1,1))))-(0.001+X!H$3*SQRT(MP5!E$6)*(MP5!E$5))))+T105</f>
        <v>16.08773106816703</v>
      </c>
      <c r="AA105" s="81">
        <f t="shared" si="64"/>
        <v>10.30574121954582</v>
      </c>
      <c r="AB105" s="89">
        <f t="shared" si="65"/>
        <v>11.63031932045011</v>
      </c>
      <c r="AC105" s="92">
        <f>F105+(J105*I$3)+(K105*I$4)+(L105*I$5)+(M105*I$6)+IF(EXACT("Y",S105),P105,0)+(IF(EXACT("Human",MP5!H$13),(((IF(EXACT("Y",S105),O105,0)+(J105*K$3)+(K105*K$4)+(L105*K$5)+(M105*K$6)+E105)*1.1)*IF(EXACT("Yes",MP5!H$8),1.05,1)*(0.05*C$5)),((IF(EXACT("Y",S105),O105,0)+(J105*K$3)+(K105*K$4)+(L105*K$5)+(M105*K$6)+E105)*IF(EXACT("Yes",MP5!H$8),1.05,1)*(0.05*C$5))))</f>
        <v>53</v>
      </c>
      <c r="AD105" s="89">
        <f>F105+(J105*I$3)+(K105*I$4)+(L105*I$5)+(M105*I$6)+IF(EXACT("Y",S105),P105,0)+((IF(EXACT("Human",MP5!H$13),(((IF(EXACT("Y",S105),O105,0)+(J105*K$3)+(K105*K$4)+(L105*K$5)+(M105*K$6)+E105)*1.1)*IF(EXACT("Yes",MP5!H$8),1.05,1)*(0.05*C$5)),((IF(EXACT("Y",S105),O105,0)+(J105*K$3)+(K105*K$4)+(L105*K$5)+(M105*K$6)+E105)*IF(EXACT("Yes",MP5!H$8),1.05,1)*(0.05*C$5))))*IF(EXACT("Yes",MP5!H$15),1.1,1))</f>
        <v>53</v>
      </c>
    </row>
    <row r="106" spans="1:30" ht="12.75">
      <c r="A106" s="51">
        <f t="shared" si="59"/>
        <v>94.6</v>
      </c>
      <c r="B106" s="53" t="s">
        <v>131</v>
      </c>
      <c r="C106" s="52">
        <v>16</v>
      </c>
      <c r="D106" s="51">
        <v>22</v>
      </c>
      <c r="E106" s="51"/>
      <c r="F106" s="48">
        <v>48</v>
      </c>
      <c r="G106" s="51"/>
      <c r="H106" s="51">
        <v>7</v>
      </c>
      <c r="I106" s="51"/>
      <c r="J106" s="52"/>
      <c r="K106" s="51"/>
      <c r="L106" s="51"/>
      <c r="M106" s="51"/>
      <c r="N106" s="52"/>
      <c r="O106" s="51"/>
      <c r="P106" s="51"/>
      <c r="Q106" s="51"/>
      <c r="R106" s="47">
        <f t="shared" si="51"/>
        <v>0</v>
      </c>
      <c r="S106" s="51" t="str">
        <f t="shared" si="60"/>
        <v>N</v>
      </c>
      <c r="T106" s="52">
        <f t="shared" si="61"/>
        <v>7</v>
      </c>
      <c r="U106" s="51">
        <f t="shared" si="62"/>
        <v>22</v>
      </c>
      <c r="V106" s="51">
        <f t="shared" si="63"/>
        <v>0</v>
      </c>
      <c r="W106" s="92">
        <f>(ROUNDDOWN((Y106-T106)*X!B$8,2))+T106</f>
        <v>8.86</v>
      </c>
      <c r="X106" s="89">
        <f>(ROUNDDOWN((Z106-T106)*X!B$8,2))+T106</f>
        <v>9.6</v>
      </c>
      <c r="Y106" s="92">
        <f>(5*((0.001+X!H$3*SQRT(MP5!D$6+U106)*(MP5!D$5+V106))-(0.001+X!H$3*SQRT(MP5!D$6)*(MP5!D$5))))+T106</f>
        <v>13.213347002444074</v>
      </c>
      <c r="Z106" s="89">
        <f>(5*((0.001+X!H$3*SQRT(MP5!E$6+(U106*IF(EXACT("Yes",MP5!H$15),1.1,1)))*(MP5!E$5+(V106*IF(EXACT("Yes",MP5!H$15),1.1,1))))-(0.001+X!H$3*SQRT(MP5!E$6)*(MP5!E$5))))+T106</f>
        <v>15.696699583634953</v>
      </c>
      <c r="AA106" s="81">
        <f t="shared" si="64"/>
        <v>10.166004100733222</v>
      </c>
      <c r="AB106" s="89">
        <f t="shared" si="65"/>
        <v>11.429009875090486</v>
      </c>
      <c r="AC106" s="92">
        <f>F106+(J106*I$3)+(K106*I$4)+(L106*I$5)+(M106*I$6)+IF(EXACT("Y",S106),P106,0)+(IF(EXACT("Human",MP5!H$13),(((IF(EXACT("Y",S106),O106,0)+(J106*K$3)+(K106*K$4)+(L106*K$5)+(M106*K$6)+E106)*1.1)*IF(EXACT("Yes",MP5!H$8),1.05,1)*(0.05*C$5)),((IF(EXACT("Y",S106),O106,0)+(J106*K$3)+(K106*K$4)+(L106*K$5)+(M106*K$6)+E106)*IF(EXACT("Yes",MP5!H$8),1.05,1)*(0.05*C$5))))</f>
        <v>48</v>
      </c>
      <c r="AD106" s="89">
        <f>F106+(J106*I$3)+(K106*I$4)+(L106*I$5)+(M106*I$6)+IF(EXACT("Y",S106),P106,0)+((IF(EXACT("Human",MP5!H$13),(((IF(EXACT("Y",S106),O106,0)+(J106*K$3)+(K106*K$4)+(L106*K$5)+(M106*K$6)+E106)*1.1)*IF(EXACT("Yes",MP5!H$8),1.05,1)*(0.05*C$5)),((IF(EXACT("Y",S106),O106,0)+(J106*K$3)+(K106*K$4)+(L106*K$5)+(M106*K$6)+E106)*IF(EXACT("Yes",MP5!H$8),1.05,1)*(0.05*C$5))))*IF(EXACT("Yes",MP5!H$15),1.1,1))</f>
        <v>48</v>
      </c>
    </row>
    <row r="107" spans="1:30" ht="12.75">
      <c r="A107" s="51">
        <f t="shared" si="59"/>
        <v>92.9</v>
      </c>
      <c r="B107" s="53" t="s">
        <v>128</v>
      </c>
      <c r="C107" s="52">
        <v>16</v>
      </c>
      <c r="D107" s="51">
        <v>17</v>
      </c>
      <c r="E107" s="51"/>
      <c r="F107" s="48">
        <v>46</v>
      </c>
      <c r="G107" s="51"/>
      <c r="H107" s="51">
        <v>8</v>
      </c>
      <c r="I107" s="51"/>
      <c r="J107" s="52"/>
      <c r="K107" s="51"/>
      <c r="L107" s="51"/>
      <c r="M107" s="51"/>
      <c r="N107" s="52"/>
      <c r="O107" s="51"/>
      <c r="P107" s="51"/>
      <c r="Q107" s="51"/>
      <c r="R107" s="47">
        <f t="shared" si="51"/>
        <v>0</v>
      </c>
      <c r="S107" s="51" t="str">
        <f t="shared" si="60"/>
        <v>N</v>
      </c>
      <c r="T107" s="52">
        <f t="shared" si="61"/>
        <v>8</v>
      </c>
      <c r="U107" s="51">
        <f t="shared" si="62"/>
        <v>17</v>
      </c>
      <c r="V107" s="51">
        <f t="shared" si="63"/>
        <v>0</v>
      </c>
      <c r="W107" s="92">
        <f>(ROUNDDOWN((Y107-T107)*X!B$8,2))+T107</f>
        <v>9.44</v>
      </c>
      <c r="X107" s="89">
        <f>(ROUNDDOWN((Z107-T107)*X!B$8,2))+T107</f>
        <v>10.02</v>
      </c>
      <c r="Y107" s="92">
        <f>(5*((0.001+X!H$3*SQRT(MP5!D$6+U107)*(MP5!D$5+V107))-(0.001+X!H$3*SQRT(MP5!D$6)*(MP5!D$5))))+T107</f>
        <v>12.813497037653462</v>
      </c>
      <c r="Z107" s="89">
        <f>(5*((0.001+X!H$3*SQRT(MP5!E$6+(U107*IF(EXACT("Yes",MP5!H$15),1.1,1)))*(MP5!E$5+(V107*IF(EXACT("Yes",MP5!H$15),1.1,1))))-(0.001+X!H$3*SQRT(MP5!E$6)*(MP5!E$5))))+T107</f>
        <v>14.736057811275487</v>
      </c>
      <c r="AA107" s="81">
        <f t="shared" si="64"/>
        <v>10.452049111296038</v>
      </c>
      <c r="AB107" s="89">
        <f t="shared" si="65"/>
        <v>11.434817343382646</v>
      </c>
      <c r="AC107" s="92">
        <f>F107+(J107*I$3)+(K107*I$4)+(L107*I$5)+(M107*I$6)+IF(EXACT("Y",S107),P107,0)+(IF(EXACT("Human",MP5!H$13),(((IF(EXACT("Y",S107),O107,0)+(J107*K$3)+(K107*K$4)+(L107*K$5)+(M107*K$6)+E107)*1.1)*IF(EXACT("Yes",MP5!H$8),1.05,1)*(0.05*C$5)),((IF(EXACT("Y",S107),O107,0)+(J107*K$3)+(K107*K$4)+(L107*K$5)+(M107*K$6)+E107)*IF(EXACT("Yes",MP5!H$8),1.05,1)*(0.05*C$5))))</f>
        <v>46</v>
      </c>
      <c r="AD107" s="89">
        <f>F107+(J107*I$3)+(K107*I$4)+(L107*I$5)+(M107*I$6)+IF(EXACT("Y",S107),P107,0)+((IF(EXACT("Human",MP5!H$13),(((IF(EXACT("Y",S107),O107,0)+(J107*K$3)+(K107*K$4)+(L107*K$5)+(M107*K$6)+E107)*1.1)*IF(EXACT("Yes",MP5!H$8),1.05,1)*(0.05*C$5)),((IF(EXACT("Y",S107),O107,0)+(J107*K$3)+(K107*K$4)+(L107*K$5)+(M107*K$6)+E107)*IF(EXACT("Yes",MP5!H$8),1.05,1)*(0.05*C$5))))*IF(EXACT("Yes",MP5!H$15),1.1,1))</f>
        <v>46</v>
      </c>
    </row>
    <row r="108" spans="1:30" ht="12.75">
      <c r="A108" s="51">
        <f t="shared" si="59"/>
        <v>64.3</v>
      </c>
      <c r="B108" s="53" t="s">
        <v>127</v>
      </c>
      <c r="C108" s="52"/>
      <c r="D108" s="51">
        <v>21</v>
      </c>
      <c r="E108" s="51">
        <v>22</v>
      </c>
      <c r="F108" s="48"/>
      <c r="G108" s="51"/>
      <c r="H108" s="51">
        <v>9</v>
      </c>
      <c r="I108" s="51"/>
      <c r="J108" s="52"/>
      <c r="K108" s="51"/>
      <c r="L108" s="51"/>
      <c r="M108" s="51"/>
      <c r="N108" s="52"/>
      <c r="O108" s="51"/>
      <c r="P108" s="51"/>
      <c r="Q108" s="51"/>
      <c r="R108" s="47">
        <f aca="true" t="shared" si="66" ref="R108:R139">IF(AND(J108&gt;=1,L$3="Y",L$3="y"),1,0)+IF(AND(K108&gt;=1,L$4="Y",L$4="y"),1,0)+IF(AND(L108&gt;=1,L$5="Y",L$5="y"),1,0)+IF(AND(J108&gt;=1,L$3&lt;&gt;"Y",L$3&lt;&gt;"y"),-3,0)+IF(AND(K108&gt;=1,L$4&lt;&gt;"Y",L$4&lt;&gt;"y"),-3,0)+IF(AND(L108&gt;=1,L$5&lt;&gt;"Y",L$5&lt;&gt;"y"),-3,0)</f>
        <v>0</v>
      </c>
      <c r="S108" s="51" t="str">
        <f t="shared" si="60"/>
        <v>N</v>
      </c>
      <c r="T108" s="52">
        <f t="shared" si="61"/>
        <v>9</v>
      </c>
      <c r="U108" s="51">
        <f t="shared" si="62"/>
        <v>21</v>
      </c>
      <c r="V108" s="51">
        <f t="shared" si="63"/>
        <v>25.410000000000004</v>
      </c>
      <c r="W108" s="92">
        <f>(ROUNDDOWN((Y108-T108)*X!B$8,2))+T108</f>
        <v>18.689999999999998</v>
      </c>
      <c r="X108" s="89">
        <f>(ROUNDDOWN((Z108-T108)*X!B$8,2))+T108</f>
        <v>20.98</v>
      </c>
      <c r="Y108" s="92">
        <f>(5*((0.001+X!H$3*SQRT(MP5!D$6+U108)*(MP5!D$5+V108))-(0.001+X!H$3*SQRT(MP5!D$6)*(MP5!D$5))))+T108</f>
        <v>41.32504184234873</v>
      </c>
      <c r="Z108" s="89">
        <f>(5*((0.001+X!H$3*SQRT(MP5!E$6+(U108*IF(EXACT("Yes",MP5!H$15),1.1,1)))*(MP5!E$5+(V108*IF(EXACT("Yes",MP5!H$15),1.1,1))))-(0.001+X!H$3*SQRT(MP5!E$6)*(MP5!E$5))))+T108</f>
        <v>48.95634995918003</v>
      </c>
      <c r="AA108" s="81">
        <f t="shared" si="64"/>
        <v>25.480512552704617</v>
      </c>
      <c r="AB108" s="89">
        <f t="shared" si="65"/>
        <v>29.372904987754012</v>
      </c>
      <c r="AC108" s="92">
        <f>F108+(J108*I$3)+(K108*I$4)+(L108*I$5)+(M108*I$6)+IF(EXACT("Y",S108),P108,0)+(IF(EXACT("Human",MP5!H$13),(((IF(EXACT("Y",S108),O108,0)+(J108*K$3)+(K108*K$4)+(L108*K$5)+(M108*K$6)+E108)*1.1)*IF(EXACT("Yes",MP5!H$8),1.05,1)*(0.05*C$5)),((IF(EXACT("Y",S108),O108,0)+(J108*K$3)+(K108*K$4)+(L108*K$5)+(M108*K$6)+E108)*IF(EXACT("Yes",MP5!H$8),1.05,1)*(0.05*C$5))))</f>
        <v>5.5</v>
      </c>
      <c r="AD108" s="89">
        <f>F108+(J108*I$3)+(K108*I$4)+(L108*I$5)+(M108*I$6)+IF(EXACT("Y",S108),P108,0)+((IF(EXACT("Human",MP5!H$13),(((IF(EXACT("Y",S108),O108,0)+(J108*K$3)+(K108*K$4)+(L108*K$5)+(M108*K$6)+E108)*1.1)*IF(EXACT("Yes",MP5!H$8),1.05,1)*(0.05*C$5)),((IF(EXACT("Y",S108),O108,0)+(J108*K$3)+(K108*K$4)+(L108*K$5)+(M108*K$6)+E108)*IF(EXACT("Yes",MP5!H$8),1.05,1)*(0.05*C$5))))*IF(EXACT("Yes",MP5!H$15),1.1,1))</f>
        <v>6.050000000000001</v>
      </c>
    </row>
    <row r="109" spans="1:30" ht="12.75">
      <c r="A109" s="51">
        <f t="shared" si="59"/>
        <v>0</v>
      </c>
      <c r="B109" s="50"/>
      <c r="C109" s="49"/>
      <c r="D109" s="48"/>
      <c r="E109" s="48"/>
      <c r="F109" s="48"/>
      <c r="G109" s="48"/>
      <c r="H109" s="48"/>
      <c r="I109" s="48"/>
      <c r="J109" s="49"/>
      <c r="K109" s="48"/>
      <c r="L109" s="48"/>
      <c r="M109" s="48"/>
      <c r="N109" s="49"/>
      <c r="O109" s="48"/>
      <c r="P109" s="48"/>
      <c r="Q109" s="48"/>
      <c r="R109" s="47">
        <f t="shared" si="66"/>
        <v>0</v>
      </c>
      <c r="S109" s="51" t="str">
        <f t="shared" si="60"/>
        <v>N</v>
      </c>
      <c r="T109" s="52">
        <f t="shared" si="61"/>
        <v>0</v>
      </c>
      <c r="U109" s="51">
        <f t="shared" si="62"/>
        <v>0</v>
      </c>
      <c r="V109" s="51">
        <f t="shared" si="63"/>
        <v>0</v>
      </c>
      <c r="W109" s="92">
        <f>(ROUNDDOWN((Y109-T109)*X!B$8,2))+T109</f>
        <v>0</v>
      </c>
      <c r="X109" s="89">
        <f>(ROUNDDOWN((Z109-T109)*X!B$8,2))+T109</f>
        <v>0</v>
      </c>
      <c r="Y109" s="92">
        <f>(5*((0.001+X!H$3*SQRT(MP5!D$6+U109)*(MP5!D$5+V109))-(0.001+X!H$3*SQRT(MP5!D$6)*(MP5!D$5))))+T109</f>
        <v>0</v>
      </c>
      <c r="Z109" s="89">
        <f>(5*((0.001+X!H$3*SQRT(MP5!E$6+(U109*IF(EXACT("Yes",MP5!H$15),1.1,1)))*(MP5!E$5+(V109*IF(EXACT("Yes",MP5!H$15),1.1,1))))-(0.001+X!H$3*SQRT(MP5!E$6)*(MP5!E$5))))+T109</f>
        <v>0</v>
      </c>
      <c r="AA109" s="81">
        <f t="shared" si="64"/>
        <v>0</v>
      </c>
      <c r="AB109" s="89">
        <f t="shared" si="65"/>
        <v>0</v>
      </c>
      <c r="AC109" s="92">
        <f>F109+(J109*I$3)+(K109*I$4)+(L109*I$5)+(M109*I$6)+IF(EXACT("Y",S109),P109,0)+(IF(EXACT("Human",MP5!H$13),(((IF(EXACT("Y",S109),O109,0)+(J109*K$3)+(K109*K$4)+(L109*K$5)+(M109*K$6)+E109)*1.1)*IF(EXACT("Yes",MP5!H$8),1.05,1)*(0.05*C$5)),((IF(EXACT("Y",S109),O109,0)+(J109*K$3)+(K109*K$4)+(L109*K$5)+(M109*K$6)+E109)*IF(EXACT("Yes",MP5!H$8),1.05,1)*(0.05*C$5))))</f>
        <v>0</v>
      </c>
      <c r="AD109" s="89">
        <f>F109+(J109*I$3)+(K109*I$4)+(L109*I$5)+(M109*I$6)+IF(EXACT("Y",S109),P109,0)+((IF(EXACT("Human",MP5!H$13),(((IF(EXACT("Y",S109),O109,0)+(J109*K$3)+(K109*K$4)+(L109*K$5)+(M109*K$6)+E109)*1.1)*IF(EXACT("Yes",MP5!H$8),1.05,1)*(0.05*C$5)),((IF(EXACT("Y",S109),O109,0)+(J109*K$3)+(K109*K$4)+(L109*K$5)+(M109*K$6)+E109)*IF(EXACT("Yes",MP5!H$8),1.05,1)*(0.05*C$5))))*IF(EXACT("Yes",MP5!H$15),1.1,1))</f>
        <v>0</v>
      </c>
    </row>
    <row r="110" spans="1:30" ht="12.75">
      <c r="A110" s="51">
        <f t="shared" si="59"/>
        <v>0</v>
      </c>
      <c r="B110" s="50"/>
      <c r="C110" s="49"/>
      <c r="D110" s="48"/>
      <c r="E110" s="48"/>
      <c r="F110" s="48"/>
      <c r="G110" s="48"/>
      <c r="H110" s="48"/>
      <c r="I110" s="48"/>
      <c r="J110" s="49"/>
      <c r="K110" s="48"/>
      <c r="L110" s="48"/>
      <c r="M110" s="48"/>
      <c r="N110" s="49"/>
      <c r="O110" s="48"/>
      <c r="P110" s="48"/>
      <c r="Q110" s="48"/>
      <c r="R110" s="47">
        <f t="shared" si="66"/>
        <v>0</v>
      </c>
      <c r="S110" s="51" t="str">
        <f t="shared" si="60"/>
        <v>N</v>
      </c>
      <c r="T110" s="52">
        <f t="shared" si="61"/>
        <v>0</v>
      </c>
      <c r="U110" s="51">
        <f t="shared" si="62"/>
        <v>0</v>
      </c>
      <c r="V110" s="51">
        <f t="shared" si="63"/>
        <v>0</v>
      </c>
      <c r="W110" s="92">
        <f>(ROUNDDOWN((Y110-T110)*X!B$8,2))+T110</f>
        <v>0</v>
      </c>
      <c r="X110" s="89">
        <f>(ROUNDDOWN((Z110-T110)*X!B$8,2))+T110</f>
        <v>0</v>
      </c>
      <c r="Y110" s="92">
        <f>(5*((0.001+X!H$3*SQRT(MP5!D$6+U110)*(MP5!D$5+V110))-(0.001+X!H$3*SQRT(MP5!D$6)*(MP5!D$5))))+T110</f>
        <v>0</v>
      </c>
      <c r="Z110" s="89">
        <f>(5*((0.001+X!H$3*SQRT(MP5!E$6+(U110*IF(EXACT("Yes",MP5!H$15),1.1,1)))*(MP5!E$5+(V110*IF(EXACT("Yes",MP5!H$15),1.1,1))))-(0.001+X!H$3*SQRT(MP5!E$6)*(MP5!E$5))))+T110</f>
        <v>0</v>
      </c>
      <c r="AA110" s="81">
        <f t="shared" si="64"/>
        <v>0</v>
      </c>
      <c r="AB110" s="89">
        <f t="shared" si="65"/>
        <v>0</v>
      </c>
      <c r="AC110" s="92">
        <f>F110+(J110*I$3)+(K110*I$4)+(L110*I$5)+(M110*I$6)+IF(EXACT("Y",S110),P110,0)+(IF(EXACT("Human",MP5!H$13),(((IF(EXACT("Y",S110),O110,0)+(J110*K$3)+(K110*K$4)+(L110*K$5)+(M110*K$6)+E110)*1.1)*IF(EXACT("Yes",MP5!H$8),1.05,1)*(0.05*C$5)),((IF(EXACT("Y",S110),O110,0)+(J110*K$3)+(K110*K$4)+(L110*K$5)+(M110*K$6)+E110)*IF(EXACT("Yes",MP5!H$8),1.05,1)*(0.05*C$5))))</f>
        <v>0</v>
      </c>
      <c r="AD110" s="89">
        <f>F110+(J110*I$3)+(K110*I$4)+(L110*I$5)+(M110*I$6)+IF(EXACT("Y",S110),P110,0)+((IF(EXACT("Human",MP5!H$13),(((IF(EXACT("Y",S110),O110,0)+(J110*K$3)+(K110*K$4)+(L110*K$5)+(M110*K$6)+E110)*1.1)*IF(EXACT("Yes",MP5!H$8),1.05,1)*(0.05*C$5)),((IF(EXACT("Y",S110),O110,0)+(J110*K$3)+(K110*K$4)+(L110*K$5)+(M110*K$6)+E110)*IF(EXACT("Yes",MP5!H$8),1.05,1)*(0.05*C$5))))*IF(EXACT("Yes",MP5!H$15),1.1,1))</f>
        <v>0</v>
      </c>
    </row>
    <row r="111" spans="1:30" ht="12.75">
      <c r="A111" s="59" t="s">
        <v>77</v>
      </c>
      <c r="B111" s="63" t="s">
        <v>126</v>
      </c>
      <c r="C111" s="62" t="s">
        <v>75</v>
      </c>
      <c r="D111" s="60" t="s">
        <v>68</v>
      </c>
      <c r="E111" s="60" t="s">
        <v>67</v>
      </c>
      <c r="F111" s="60" t="s">
        <v>66</v>
      </c>
      <c r="G111" s="60" t="s">
        <v>74</v>
      </c>
      <c r="H111" s="60" t="s">
        <v>65</v>
      </c>
      <c r="I111" s="60" t="s">
        <v>73</v>
      </c>
      <c r="J111" s="61" t="s">
        <v>72</v>
      </c>
      <c r="K111" s="59" t="s">
        <v>71</v>
      </c>
      <c r="L111" s="59" t="s">
        <v>70</v>
      </c>
      <c r="M111" s="59" t="s">
        <v>69</v>
      </c>
      <c r="N111" s="61" t="s">
        <v>68</v>
      </c>
      <c r="O111" s="59" t="s">
        <v>67</v>
      </c>
      <c r="P111" s="60" t="s">
        <v>66</v>
      </c>
      <c r="Q111" s="59" t="s">
        <v>65</v>
      </c>
      <c r="R111" s="47">
        <f t="shared" si="66"/>
        <v>3</v>
      </c>
      <c r="S111" s="59" t="s">
        <v>64</v>
      </c>
      <c r="T111" s="61" t="s">
        <v>65</v>
      </c>
      <c r="U111" s="59" t="s">
        <v>68</v>
      </c>
      <c r="V111" s="59" t="s">
        <v>67</v>
      </c>
      <c r="W111" s="90" t="s">
        <v>1</v>
      </c>
      <c r="X111" s="91" t="s">
        <v>2</v>
      </c>
      <c r="Y111" s="90" t="s">
        <v>1</v>
      </c>
      <c r="Z111" s="91" t="s">
        <v>2</v>
      </c>
      <c r="AA111" s="59" t="s">
        <v>1</v>
      </c>
      <c r="AB111" s="59" t="s">
        <v>2</v>
      </c>
      <c r="AC111" s="90" t="s">
        <v>1</v>
      </c>
      <c r="AD111" s="91" t="s">
        <v>2</v>
      </c>
    </row>
    <row r="112" spans="1:30" ht="12.75">
      <c r="A112" s="51">
        <f aca="true" t="shared" si="67" ref="A112:A120">C112*W$6+D112*Z$3+E112*Y$3+F112*X$3+H112*W$3+J112*X$6+K112*Z$6+L112*Y$6+G112*W$9+I112*AH131+M112*Z$9+(IF(S112="Y",((P112*X$3)+(Q112*W$3)+(O112*Y$3)+(N112*Z$3)),0))</f>
        <v>174.3</v>
      </c>
      <c r="B112" s="50" t="s">
        <v>123</v>
      </c>
      <c r="C112" s="49">
        <v>27</v>
      </c>
      <c r="D112" s="48">
        <v>19</v>
      </c>
      <c r="E112" s="48"/>
      <c r="F112" s="48">
        <v>64</v>
      </c>
      <c r="G112" s="48">
        <v>25</v>
      </c>
      <c r="H112" s="48">
        <v>10</v>
      </c>
      <c r="I112" s="48"/>
      <c r="J112" s="49"/>
      <c r="K112" s="48"/>
      <c r="L112" s="48">
        <v>1</v>
      </c>
      <c r="M112" s="48"/>
      <c r="N112" s="49"/>
      <c r="O112" s="48"/>
      <c r="P112" s="48"/>
      <c r="Q112" s="48">
        <v>1</v>
      </c>
      <c r="R112" s="47">
        <f t="shared" si="66"/>
        <v>1</v>
      </c>
      <c r="S112" s="51" t="str">
        <f aca="true" t="shared" si="68" ref="S112:S122">IF(R112&gt;0,"Y","N")</f>
        <v>Y</v>
      </c>
      <c r="T112" s="52">
        <f aca="true" t="shared" si="69" ref="T112:T122">H112+(J112*H$3)+(K112*H$4)+(L112*H$5)+(M112*H$6)+IF(EXACT("Y",S112),Q112,0)</f>
        <v>11</v>
      </c>
      <c r="U112" s="51">
        <f aca="true" t="shared" si="70" ref="U112:U122">(D112+(J112*J$3)+(K112*J$4)+(L112*J$5)+(M112*J$6)+IF(EXACT("Y",S112),N112,0))*(1+C$6)</f>
        <v>19</v>
      </c>
      <c r="V112" s="51">
        <f aca="true" t="shared" si="71" ref="V112:V122">((((E112+(J112*K$3)+(K112*K$4)+(L112*K$5)+(M112*K$6)+IF(EXACT("Y",S112),O112,0))*IF(EXACT("Yes",C$3),1.1,1))*IF(EXACT("Yes",C$4),1.05,1)))*(1+C$6)</f>
        <v>0</v>
      </c>
      <c r="W112" s="92">
        <f>(ROUNDDOWN((Y112-T112)*X!B$8,2))+T112</f>
        <v>12.61</v>
      </c>
      <c r="X112" s="89">
        <f>(ROUNDDOWN((Z112-T112)*X!B$8,2))+T112</f>
        <v>13.25</v>
      </c>
      <c r="Y112" s="92">
        <f>(5*((0.001+X!H$3*SQRT(MP5!D$6+U112)*(MP5!D$5+V112))-(0.001+X!H$3*SQRT(MP5!D$6)*(MP5!D$5))))+T112</f>
        <v>16.37428670901143</v>
      </c>
      <c r="Z112" s="89">
        <f>(5*((0.001+X!H$3*SQRT(MP5!E$6+(U112*IF(EXACT("Yes",MP5!H$15),1.1,1)))*(MP5!E$5+(V112*IF(EXACT("Yes",MP5!H$15),1.1,1))))-(0.001+X!H$3*SQRT(MP5!E$6)*(MP5!E$5))))+T112</f>
        <v>18.52141549350398</v>
      </c>
      <c r="AA112" s="81">
        <f aca="true" t="shared" si="72" ref="AA112:AA122">((Y112-W112)*(1-C$7))+W112</f>
        <v>13.739286012703428</v>
      </c>
      <c r="AB112" s="89">
        <f aca="true" t="shared" si="73" ref="AB112:AB122">((Z112-X112)*(1-C$7))+X112</f>
        <v>14.831424648051193</v>
      </c>
      <c r="AC112" s="92">
        <f>F112+(J112*I$3)+(K112*I$4)+(L112*I$5)+(M112*I$6)+IF(EXACT("Y",S112),P112,0)+(IF(EXACT("Human",MP5!H$13),(((IF(EXACT("Y",S112),O112,0)+(J112*K$3)+(K112*K$4)+(L112*K$5)+(M112*K$6)+E112)*1.1)*IF(EXACT("Yes",MP5!H$8),1.05,1)*(0.05*C$5)),((IF(EXACT("Y",S112),O112,0)+(J112*K$3)+(K112*K$4)+(L112*K$5)+(M112*K$6)+E112)*IF(EXACT("Yes",MP5!H$8),1.05,1)*(0.05*C$5))))</f>
        <v>86</v>
      </c>
      <c r="AD112" s="89">
        <f>F112+(J112*I$3)+(K112*I$4)+(L112*I$5)+(M112*I$6)+IF(EXACT("Y",S112),P112,0)+((IF(EXACT("Human",MP5!H$13),(((IF(EXACT("Y",S112),O112,0)+(J112*K$3)+(K112*K$4)+(L112*K$5)+(M112*K$6)+E112)*1.1)*IF(EXACT("Yes",MP5!H$8),1.05,1)*(0.05*C$5)),((IF(EXACT("Y",S112),O112,0)+(J112*K$3)+(K112*K$4)+(L112*K$5)+(M112*K$6)+E112)*IF(EXACT("Yes",MP5!H$8),1.05,1)*(0.05*C$5))))*IF(EXACT("Yes",MP5!H$15),1.1,1))</f>
        <v>86</v>
      </c>
    </row>
    <row r="113" spans="1:30" ht="12.75">
      <c r="A113" s="51">
        <f t="shared" si="67"/>
        <v>159.2</v>
      </c>
      <c r="B113" s="50" t="s">
        <v>125</v>
      </c>
      <c r="C113" s="49">
        <v>33</v>
      </c>
      <c r="D113" s="48">
        <v>22</v>
      </c>
      <c r="E113" s="48"/>
      <c r="F113" s="48">
        <v>70</v>
      </c>
      <c r="G113" s="48">
        <v>20</v>
      </c>
      <c r="H113" s="48">
        <v>9</v>
      </c>
      <c r="I113" s="48"/>
      <c r="J113" s="49"/>
      <c r="K113" s="48"/>
      <c r="L113" s="48"/>
      <c r="M113" s="48"/>
      <c r="N113" s="49"/>
      <c r="O113" s="48"/>
      <c r="P113" s="48"/>
      <c r="Q113" s="48"/>
      <c r="R113" s="47">
        <f t="shared" si="66"/>
        <v>0</v>
      </c>
      <c r="S113" s="51" t="str">
        <f t="shared" si="68"/>
        <v>N</v>
      </c>
      <c r="T113" s="52">
        <f t="shared" si="69"/>
        <v>9</v>
      </c>
      <c r="U113" s="51">
        <f t="shared" si="70"/>
        <v>22</v>
      </c>
      <c r="V113" s="51">
        <f t="shared" si="71"/>
        <v>0</v>
      </c>
      <c r="W113" s="92">
        <f>(ROUNDDOWN((Y113-T113)*X!B$8,2))+T113</f>
        <v>10.86</v>
      </c>
      <c r="X113" s="89">
        <f>(ROUNDDOWN((Z113-T113)*X!B$8,2))+T113</f>
        <v>11.6</v>
      </c>
      <c r="Y113" s="92">
        <f>(5*((0.001+X!H$3*SQRT(MP5!D$6+U113)*(MP5!D$5+V113))-(0.001+X!H$3*SQRT(MP5!D$6)*(MP5!D$5))))+T113</f>
        <v>15.213347002444074</v>
      </c>
      <c r="Z113" s="89">
        <f>(5*((0.001+X!H$3*SQRT(MP5!E$6+(U113*IF(EXACT("Yes",MP5!H$15),1.1,1)))*(MP5!E$5+(V113*IF(EXACT("Yes",MP5!H$15),1.1,1))))-(0.001+X!H$3*SQRT(MP5!E$6)*(MP5!E$5))))+T113</f>
        <v>17.696699583634953</v>
      </c>
      <c r="AA113" s="81">
        <f t="shared" si="72"/>
        <v>12.166004100733222</v>
      </c>
      <c r="AB113" s="89">
        <f t="shared" si="73"/>
        <v>13.429009875090486</v>
      </c>
      <c r="AC113" s="92">
        <f>F113+(J113*I$3)+(K113*I$4)+(L113*I$5)+(M113*I$6)+IF(EXACT("Y",S113),P113,0)+(IF(EXACT("Human",MP5!H$13),(((IF(EXACT("Y",S113),O113,0)+(J113*K$3)+(K113*K$4)+(L113*K$5)+(M113*K$6)+E113)*1.1)*IF(EXACT("Yes",MP5!H$8),1.05,1)*(0.05*C$5)),((IF(EXACT("Y",S113),O113,0)+(J113*K$3)+(K113*K$4)+(L113*K$5)+(M113*K$6)+E113)*IF(EXACT("Yes",MP5!H$8),1.05,1)*(0.05*C$5))))</f>
        <v>70</v>
      </c>
      <c r="AD113" s="89">
        <f>F113+(J113*I$3)+(K113*I$4)+(L113*I$5)+(M113*I$6)+IF(EXACT("Y",S113),P113,0)+((IF(EXACT("Human",MP5!H$13),(((IF(EXACT("Y",S113),O113,0)+(J113*K$3)+(K113*K$4)+(L113*K$5)+(M113*K$6)+E113)*1.1)*IF(EXACT("Yes",MP5!H$8),1.05,1)*(0.05*C$5)),((IF(EXACT("Y",S113),O113,0)+(J113*K$3)+(K113*K$4)+(L113*K$5)+(M113*K$6)+E113)*IF(EXACT("Yes",MP5!H$8),1.05,1)*(0.05*C$5))))*IF(EXACT("Yes",MP5!H$15),1.1,1))</f>
        <v>70</v>
      </c>
    </row>
    <row r="114" spans="1:30" ht="12.75">
      <c r="A114" s="51">
        <f t="shared" si="67"/>
        <v>144.7</v>
      </c>
      <c r="B114" s="53" t="s">
        <v>119</v>
      </c>
      <c r="C114" s="52"/>
      <c r="D114" s="51">
        <v>24</v>
      </c>
      <c r="E114" s="51">
        <v>19</v>
      </c>
      <c r="F114" s="48">
        <v>75</v>
      </c>
      <c r="G114" s="51">
        <v>33</v>
      </c>
      <c r="H114" s="51"/>
      <c r="I114" s="51"/>
      <c r="J114" s="52"/>
      <c r="K114" s="51"/>
      <c r="L114" s="51"/>
      <c r="M114" s="51"/>
      <c r="N114" s="52"/>
      <c r="O114" s="51"/>
      <c r="P114" s="51"/>
      <c r="Q114" s="51"/>
      <c r="R114" s="47">
        <f t="shared" si="66"/>
        <v>0</v>
      </c>
      <c r="S114" s="51" t="str">
        <f t="shared" si="68"/>
        <v>N</v>
      </c>
      <c r="T114" s="52">
        <f t="shared" si="69"/>
        <v>0</v>
      </c>
      <c r="U114" s="51">
        <f t="shared" si="70"/>
        <v>24</v>
      </c>
      <c r="V114" s="51">
        <f t="shared" si="71"/>
        <v>21.945000000000004</v>
      </c>
      <c r="W114" s="92">
        <f>(ROUNDDOWN((Y114-T114)*X!B$8,2))+T114</f>
        <v>8.88</v>
      </c>
      <c r="X114" s="89">
        <f>(ROUNDDOWN((Z114-T114)*X!B$8,2))+T114</f>
        <v>11.06</v>
      </c>
      <c r="Y114" s="92">
        <f>(5*((0.001+X!H$3*SQRT(MP5!D$6+U114)*(MP5!D$5+V114))-(0.001+X!H$3*SQRT(MP5!D$6)*(MP5!D$5))))+T114</f>
        <v>29.63245203243698</v>
      </c>
      <c r="Z114" s="89">
        <f>(5*((0.001+X!H$3*SQRT(MP5!E$6+(U114*IF(EXACT("Yes",MP5!H$15),1.1,1)))*(MP5!E$5+(V114*IF(EXACT("Yes",MP5!H$15),1.1,1))))-(0.001+X!H$3*SQRT(MP5!E$6)*(MP5!E$5))))+T114</f>
        <v>36.8897841297089</v>
      </c>
      <c r="AA114" s="81">
        <f t="shared" si="72"/>
        <v>15.105735609731095</v>
      </c>
      <c r="AB114" s="89">
        <f t="shared" si="73"/>
        <v>18.80893523891267</v>
      </c>
      <c r="AC114" s="92">
        <f>F114+(J114*I$3)+(K114*I$4)+(L114*I$5)+(M114*I$6)+IF(EXACT("Y",S114),P114,0)+(IF(EXACT("Human",MP5!H$13),(((IF(EXACT("Y",S114),O114,0)+(J114*K$3)+(K114*K$4)+(L114*K$5)+(M114*K$6)+E114)*1.1)*IF(EXACT("Yes",MP5!H$8),1.05,1)*(0.05*C$5)),((IF(EXACT("Y",S114),O114,0)+(J114*K$3)+(K114*K$4)+(L114*K$5)+(M114*K$6)+E114)*IF(EXACT("Yes",MP5!H$8),1.05,1)*(0.05*C$5))))</f>
        <v>79.75</v>
      </c>
      <c r="AD114" s="89">
        <f>F114+(J114*I$3)+(K114*I$4)+(L114*I$5)+(M114*I$6)+IF(EXACT("Y",S114),P114,0)+((IF(EXACT("Human",MP5!H$13),(((IF(EXACT("Y",S114),O114,0)+(J114*K$3)+(K114*K$4)+(L114*K$5)+(M114*K$6)+E114)*1.1)*IF(EXACT("Yes",MP5!H$8),1.05,1)*(0.05*C$5)),((IF(EXACT("Y",S114),O114,0)+(J114*K$3)+(K114*K$4)+(L114*K$5)+(M114*K$6)+E114)*IF(EXACT("Yes",MP5!H$8),1.05,1)*(0.05*C$5))))*IF(EXACT("Yes",MP5!H$15),1.1,1))</f>
        <v>80.225</v>
      </c>
    </row>
    <row r="115" spans="1:30" ht="12.75">
      <c r="A115" s="51">
        <f t="shared" si="67"/>
        <v>133.1</v>
      </c>
      <c r="B115" s="53" t="s">
        <v>121</v>
      </c>
      <c r="C115" s="52">
        <v>25</v>
      </c>
      <c r="D115" s="51">
        <v>19</v>
      </c>
      <c r="E115" s="51"/>
      <c r="F115" s="51">
        <v>79</v>
      </c>
      <c r="G115" s="51"/>
      <c r="H115" s="51">
        <v>7</v>
      </c>
      <c r="I115" s="51"/>
      <c r="J115" s="52"/>
      <c r="K115" s="51"/>
      <c r="L115" s="51"/>
      <c r="M115" s="51"/>
      <c r="N115" s="52"/>
      <c r="O115" s="51"/>
      <c r="P115" s="51"/>
      <c r="Q115" s="51"/>
      <c r="R115" s="47">
        <f t="shared" si="66"/>
        <v>0</v>
      </c>
      <c r="S115" s="51" t="str">
        <f t="shared" si="68"/>
        <v>N</v>
      </c>
      <c r="T115" s="52">
        <f t="shared" si="69"/>
        <v>7</v>
      </c>
      <c r="U115" s="51">
        <f t="shared" si="70"/>
        <v>19</v>
      </c>
      <c r="V115" s="51">
        <f t="shared" si="71"/>
        <v>0</v>
      </c>
      <c r="W115" s="92">
        <f>(ROUNDDOWN((Y115-T115)*X!B$8,2))+T115</f>
        <v>8.61</v>
      </c>
      <c r="X115" s="89">
        <f>(ROUNDDOWN((Z115-T115)*X!B$8,2))+T115</f>
        <v>9.25</v>
      </c>
      <c r="Y115" s="92">
        <f>(5*((0.001+X!H$3*SQRT(MP5!D$6+U115)*(MP5!D$5+V115))-(0.001+X!H$3*SQRT(MP5!D$6)*(MP5!D$5))))+T115</f>
        <v>12.374286709011429</v>
      </c>
      <c r="Z115" s="89">
        <f>(5*((0.001+X!H$3*SQRT(MP5!E$6+(U115*IF(EXACT("Yes",MP5!H$15),1.1,1)))*(MP5!E$5+(V115*IF(EXACT("Yes",MP5!H$15),1.1,1))))-(0.001+X!H$3*SQRT(MP5!E$6)*(MP5!E$5))))+T115</f>
        <v>14.52141549350398</v>
      </c>
      <c r="AA115" s="81">
        <f t="shared" si="72"/>
        <v>9.739286012703428</v>
      </c>
      <c r="AB115" s="89">
        <f t="shared" si="73"/>
        <v>10.831424648051193</v>
      </c>
      <c r="AC115" s="92">
        <f>F115+(J115*I$3)+(K115*I$4)+(L115*I$5)+(M115*I$6)+IF(EXACT("Y",S115),P115,0)+(IF(EXACT("Human",MP5!H$13),(((IF(EXACT("Y",S115),O115,0)+(J115*K$3)+(K115*K$4)+(L115*K$5)+(M115*K$6)+E115)*1.1)*IF(EXACT("Yes",MP5!H$8),1.05,1)*(0.05*C$5)),((IF(EXACT("Y",S115),O115,0)+(J115*K$3)+(K115*K$4)+(L115*K$5)+(M115*K$6)+E115)*IF(EXACT("Yes",MP5!H$8),1.05,1)*(0.05*C$5))))</f>
        <v>79</v>
      </c>
      <c r="AD115" s="89">
        <f>F115+(J115*I$3)+(K115*I$4)+(L115*I$5)+(M115*I$6)+IF(EXACT("Y",S115),P115,0)+((IF(EXACT("Human",MP5!H$13),(((IF(EXACT("Y",S115),O115,0)+(J115*K$3)+(K115*K$4)+(L115*K$5)+(M115*K$6)+E115)*1.1)*IF(EXACT("Yes",MP5!H$8),1.05,1)*(0.05*C$5)),((IF(EXACT("Y",S115),O115,0)+(J115*K$3)+(K115*K$4)+(L115*K$5)+(M115*K$6)+E115)*IF(EXACT("Yes",MP5!H$8),1.05,1)*(0.05*C$5))))*IF(EXACT("Yes",MP5!H$15),1.1,1))</f>
        <v>79</v>
      </c>
    </row>
    <row r="116" spans="1:30" ht="12.75">
      <c r="A116" s="51">
        <f t="shared" si="67"/>
        <v>129.9</v>
      </c>
      <c r="B116" s="120" t="s">
        <v>234</v>
      </c>
      <c r="C116" s="49">
        <v>16</v>
      </c>
      <c r="D116" s="48">
        <v>19</v>
      </c>
      <c r="E116" s="48"/>
      <c r="F116" s="48">
        <v>64</v>
      </c>
      <c r="G116" s="48"/>
      <c r="H116" s="48">
        <v>8</v>
      </c>
      <c r="I116" s="48"/>
      <c r="J116" s="49">
        <v>1</v>
      </c>
      <c r="K116" s="48"/>
      <c r="L116" s="48"/>
      <c r="M116" s="48"/>
      <c r="N116" s="49"/>
      <c r="O116" s="48"/>
      <c r="P116" s="48"/>
      <c r="Q116" s="48"/>
      <c r="R116" s="47">
        <f t="shared" si="66"/>
        <v>1</v>
      </c>
      <c r="S116" s="51" t="str">
        <f t="shared" si="68"/>
        <v>Y</v>
      </c>
      <c r="T116" s="52">
        <f t="shared" si="69"/>
        <v>8</v>
      </c>
      <c r="U116" s="51">
        <f t="shared" si="70"/>
        <v>19</v>
      </c>
      <c r="V116" s="51">
        <f t="shared" si="71"/>
        <v>11.55</v>
      </c>
      <c r="W116" s="92">
        <f>(ROUNDDOWN((Y116-T116)*X!B$8,2))+T116</f>
        <v>13.2</v>
      </c>
      <c r="X116" s="89">
        <f>(ROUNDDOWN((Z116-T116)*X!B$8,2))+T116</f>
        <v>14.559999999999999</v>
      </c>
      <c r="Y116" s="92">
        <f>(5*((0.001+X!H$3*SQRT(MP5!D$6+U116)*(MP5!D$5+V116))-(0.001+X!H$3*SQRT(MP5!D$6)*(MP5!D$5))))+T116</f>
        <v>25.346031214508244</v>
      </c>
      <c r="Z116" s="89">
        <f>(5*((0.001+X!H$3*SQRT(MP5!E$6+(U116*IF(EXACT("Yes",MP5!H$15),1.1,1)))*(MP5!E$5+(V116*IF(EXACT("Yes",MP5!H$15),1.1,1))))-(0.001+X!H$3*SQRT(MP5!E$6)*(MP5!E$5))))+T116</f>
        <v>29.8813884354266</v>
      </c>
      <c r="AA116" s="81">
        <f t="shared" si="72"/>
        <v>16.843809364352474</v>
      </c>
      <c r="AB116" s="89">
        <f t="shared" si="73"/>
        <v>19.15641653062798</v>
      </c>
      <c r="AC116" s="92">
        <f>F116+(J116*I$3)+(K116*I$4)+(L116*I$5)+(M116*I$6)+IF(EXACT("Y",S116),P116,0)+(IF(EXACT("Human",MP5!H$13),(((IF(EXACT("Y",S116),O116,0)+(J116*K$3)+(K116*K$4)+(L116*K$5)+(M116*K$6)+E116)*1.1)*IF(EXACT("Yes",MP5!H$8),1.05,1)*(0.05*C$5)),((IF(EXACT("Y",S116),O116,0)+(J116*K$3)+(K116*K$4)+(L116*K$5)+(M116*K$6)+E116)*IF(EXACT("Yes",MP5!H$8),1.05,1)*(0.05*C$5))))</f>
        <v>66.5</v>
      </c>
      <c r="AD116" s="89">
        <f>F116+(J116*I$3)+(K116*I$4)+(L116*I$5)+(M116*I$6)+IF(EXACT("Y",S116),P116,0)+((IF(EXACT("Human",MP5!H$13),(((IF(EXACT("Y",S116),O116,0)+(J116*K$3)+(K116*K$4)+(L116*K$5)+(M116*K$6)+E116)*1.1)*IF(EXACT("Yes",MP5!H$8),1.05,1)*(0.05*C$5)),((IF(EXACT("Y",S116),O116,0)+(J116*K$3)+(K116*K$4)+(L116*K$5)+(M116*K$6)+E116)*IF(EXACT("Yes",MP5!H$8),1.05,1)*(0.05*C$5))))*IF(EXACT("Yes",MP5!H$15),1.1,1))</f>
        <v>66.75</v>
      </c>
    </row>
    <row r="117" spans="1:30" ht="12.75">
      <c r="A117" s="51">
        <f t="shared" si="67"/>
        <v>124.4</v>
      </c>
      <c r="B117" s="53" t="s">
        <v>120</v>
      </c>
      <c r="C117" s="52">
        <v>16</v>
      </c>
      <c r="D117" s="51">
        <v>14</v>
      </c>
      <c r="E117" s="51"/>
      <c r="F117" s="51">
        <v>79</v>
      </c>
      <c r="G117" s="51"/>
      <c r="H117" s="51">
        <v>8</v>
      </c>
      <c r="I117" s="51">
        <v>19</v>
      </c>
      <c r="J117" s="52"/>
      <c r="K117" s="51"/>
      <c r="L117" s="51"/>
      <c r="M117" s="51"/>
      <c r="N117" s="52"/>
      <c r="O117" s="51"/>
      <c r="P117" s="51"/>
      <c r="Q117" s="51"/>
      <c r="R117" s="47">
        <f t="shared" si="66"/>
        <v>0</v>
      </c>
      <c r="S117" s="51" t="str">
        <f t="shared" si="68"/>
        <v>N</v>
      </c>
      <c r="T117" s="52">
        <f t="shared" si="69"/>
        <v>8</v>
      </c>
      <c r="U117" s="51">
        <f t="shared" si="70"/>
        <v>14</v>
      </c>
      <c r="V117" s="51">
        <f t="shared" si="71"/>
        <v>0</v>
      </c>
      <c r="W117" s="92">
        <f>(ROUNDDOWN((Y117-T117)*X!B$8,2))+T117</f>
        <v>9.19</v>
      </c>
      <c r="X117" s="89">
        <f>(ROUNDDOWN((Z117-T117)*X!B$8,2))+T117</f>
        <v>9.66</v>
      </c>
      <c r="Y117" s="92">
        <f>(5*((0.001+X!H$3*SQRT(MP5!D$6+U117)*(MP5!D$5+V117))-(0.001+X!H$3*SQRT(MP5!D$6)*(MP5!D$5))))+T117</f>
        <v>11.970171011657833</v>
      </c>
      <c r="Z117" s="89">
        <f>(5*((0.001+X!H$3*SQRT(MP5!E$6+(U117*IF(EXACT("Yes",MP5!H$15),1.1,1)))*(MP5!E$5+(V117*IF(EXACT("Yes",MP5!H$15),1.1,1))))-(0.001+X!H$3*SQRT(MP5!E$6)*(MP5!E$5))))+T117</f>
        <v>13.555248120604759</v>
      </c>
      <c r="AA117" s="81">
        <f t="shared" si="72"/>
        <v>10.02405130349735</v>
      </c>
      <c r="AB117" s="89">
        <f t="shared" si="73"/>
        <v>10.828574436181428</v>
      </c>
      <c r="AC117" s="92">
        <f>F117+(J117*I$3)+(K117*I$4)+(L117*I$5)+(M117*I$6)+IF(EXACT("Y",S117),P117,0)+(IF(EXACT("Human",MP5!H$13),(((IF(EXACT("Y",S117),O117,0)+(J117*K$3)+(K117*K$4)+(L117*K$5)+(M117*K$6)+E117)*1.1)*IF(EXACT("Yes",MP5!H$8),1.05,1)*(0.05*C$5)),((IF(EXACT("Y",S117),O117,0)+(J117*K$3)+(K117*K$4)+(L117*K$5)+(M117*K$6)+E117)*IF(EXACT("Yes",MP5!H$8),1.05,1)*(0.05*C$5))))</f>
        <v>79</v>
      </c>
      <c r="AD117" s="89">
        <f>F117+(J117*I$3)+(K117*I$4)+(L117*I$5)+(M117*I$6)+IF(EXACT("Y",S117),P117,0)+((IF(EXACT("Human",MP5!H$13),(((IF(EXACT("Y",S117),O117,0)+(J117*K$3)+(K117*K$4)+(L117*K$5)+(M117*K$6)+E117)*1.1)*IF(EXACT("Yes",MP5!H$8),1.05,1)*(0.05*C$5)),((IF(EXACT("Y",S117),O117,0)+(J117*K$3)+(K117*K$4)+(L117*K$5)+(M117*K$6)+E117)*IF(EXACT("Yes",MP5!H$8),1.05,1)*(0.05*C$5))))*IF(EXACT("Yes",MP5!H$15),1.1,1))</f>
        <v>79</v>
      </c>
    </row>
    <row r="118" spans="1:30" ht="12.75">
      <c r="A118" s="51">
        <f t="shared" si="67"/>
        <v>108.6</v>
      </c>
      <c r="B118" s="64" t="s">
        <v>124</v>
      </c>
      <c r="C118" s="49">
        <v>19</v>
      </c>
      <c r="D118" s="48"/>
      <c r="E118" s="48"/>
      <c r="F118" s="48">
        <v>70</v>
      </c>
      <c r="G118" s="48"/>
      <c r="H118" s="48">
        <v>7</v>
      </c>
      <c r="I118" s="48"/>
      <c r="J118" s="49"/>
      <c r="K118" s="48"/>
      <c r="L118" s="48"/>
      <c r="M118" s="48"/>
      <c r="N118" s="49"/>
      <c r="O118" s="48"/>
      <c r="P118" s="48"/>
      <c r="Q118" s="48"/>
      <c r="R118" s="47">
        <f t="shared" si="66"/>
        <v>0</v>
      </c>
      <c r="S118" s="51" t="str">
        <f t="shared" si="68"/>
        <v>N</v>
      </c>
      <c r="T118" s="52">
        <f t="shared" si="69"/>
        <v>7</v>
      </c>
      <c r="U118" s="51">
        <f t="shared" si="70"/>
        <v>0</v>
      </c>
      <c r="V118" s="51">
        <f t="shared" si="71"/>
        <v>0</v>
      </c>
      <c r="W118" s="92">
        <f>(ROUNDDOWN((Y118-T118)*X!B$8,2))+T118</f>
        <v>7</v>
      </c>
      <c r="X118" s="89">
        <f>(ROUNDDOWN((Z118-T118)*X!B$8,2))+T118</f>
        <v>7</v>
      </c>
      <c r="Y118" s="92">
        <f>(5*((0.001+X!H$3*SQRT(MP5!D$6+U118)*(MP5!D$5+V118))-(0.001+X!H$3*SQRT(MP5!D$6)*(MP5!D$5))))+T118</f>
        <v>7</v>
      </c>
      <c r="Z118" s="89">
        <f>(5*((0.001+X!H$3*SQRT(MP5!E$6+(U118*IF(EXACT("Yes",MP5!H$15),1.1,1)))*(MP5!E$5+(V118*IF(EXACT("Yes",MP5!H$15),1.1,1))))-(0.001+X!H$3*SQRT(MP5!E$6)*(MP5!E$5))))+T118</f>
        <v>7</v>
      </c>
      <c r="AA118" s="81">
        <f t="shared" si="72"/>
        <v>7</v>
      </c>
      <c r="AB118" s="89">
        <f t="shared" si="73"/>
        <v>7</v>
      </c>
      <c r="AC118" s="92">
        <f>F118+(J118*I$3)+(K118*I$4)+(L118*I$5)+(M118*I$6)+IF(EXACT("Y",S118),P118,0)+(IF(EXACT("Human",MP5!H$13),(((IF(EXACT("Y",S118),O118,0)+(J118*K$3)+(K118*K$4)+(L118*K$5)+(M118*K$6)+E118)*1.1)*IF(EXACT("Yes",MP5!H$8),1.05,1)*(0.05*C$5)),((IF(EXACT("Y",S118),O118,0)+(J118*K$3)+(K118*K$4)+(L118*K$5)+(M118*K$6)+E118)*IF(EXACT("Yes",MP5!H$8),1.05,1)*(0.05*C$5))))</f>
        <v>70</v>
      </c>
      <c r="AD118" s="89">
        <f>F118+(J118*I$3)+(K118*I$4)+(L118*I$5)+(M118*I$6)+IF(EXACT("Y",S118),P118,0)+((IF(EXACT("Human",MP5!H$13),(((IF(EXACT("Y",S118),O118,0)+(J118*K$3)+(K118*K$4)+(L118*K$5)+(M118*K$6)+E118)*1.1)*IF(EXACT("Yes",MP5!H$8),1.05,1)*(0.05*C$5)),((IF(EXACT("Y",S118),O118,0)+(J118*K$3)+(K118*K$4)+(L118*K$5)+(M118*K$6)+E118)*IF(EXACT("Yes",MP5!H$8),1.05,1)*(0.05*C$5))))*IF(EXACT("Yes",MP5!H$15),1.1,1))</f>
        <v>70</v>
      </c>
    </row>
    <row r="119" spans="1:30" ht="12.75">
      <c r="A119" s="51">
        <f t="shared" si="67"/>
        <v>103.6</v>
      </c>
      <c r="B119" s="53" t="s">
        <v>122</v>
      </c>
      <c r="C119" s="52"/>
      <c r="D119" s="51">
        <v>21</v>
      </c>
      <c r="E119" s="51">
        <v>19</v>
      </c>
      <c r="F119" s="51">
        <v>46</v>
      </c>
      <c r="G119" s="51"/>
      <c r="H119" s="51">
        <v>8</v>
      </c>
      <c r="I119" s="51"/>
      <c r="J119" s="52"/>
      <c r="K119" s="51"/>
      <c r="L119" s="51"/>
      <c r="M119" s="51"/>
      <c r="N119" s="52"/>
      <c r="O119" s="51"/>
      <c r="P119" s="51"/>
      <c r="Q119" s="51"/>
      <c r="R119" s="47">
        <f t="shared" si="66"/>
        <v>0</v>
      </c>
      <c r="S119" s="51" t="str">
        <f t="shared" si="68"/>
        <v>N</v>
      </c>
      <c r="T119" s="52">
        <f t="shared" si="69"/>
        <v>8</v>
      </c>
      <c r="U119" s="51">
        <f t="shared" si="70"/>
        <v>21</v>
      </c>
      <c r="V119" s="51">
        <f t="shared" si="71"/>
        <v>21.945000000000004</v>
      </c>
      <c r="W119" s="92">
        <f>(ROUNDDOWN((Y119-T119)*X!B$8,2))+T119</f>
        <v>16.61</v>
      </c>
      <c r="X119" s="89">
        <f>(ROUNDDOWN((Z119-T119)*X!B$8,2))+T119</f>
        <v>18.689999999999998</v>
      </c>
      <c r="Y119" s="92">
        <f>(5*((0.001+X!H$3*SQRT(MP5!D$6+U119)*(MP5!D$5+V119))-(0.001+X!H$3*SQRT(MP5!D$6)*(MP5!D$5))))+T119</f>
        <v>36.726255544249106</v>
      </c>
      <c r="Z119" s="89">
        <f>(5*((0.001+X!H$3*SQRT(MP5!E$6+(U119*IF(EXACT("Yes",MP5!H$15),1.1,1)))*(MP5!E$5+(V119*IF(EXACT("Yes",MP5!H$15),1.1,1))))-(0.001+X!H$3*SQRT(MP5!E$6)*(MP5!E$5))))+T119</f>
        <v>43.640298215707276</v>
      </c>
      <c r="AA119" s="81">
        <f t="shared" si="72"/>
        <v>22.644876663274733</v>
      </c>
      <c r="AB119" s="89">
        <f t="shared" si="73"/>
        <v>26.175089464712183</v>
      </c>
      <c r="AC119" s="92">
        <f>F119+(J119*I$3)+(K119*I$4)+(L119*I$5)+(M119*I$6)+IF(EXACT("Y",S119),P119,0)+(IF(EXACT("Human",MP5!H$13),(((IF(EXACT("Y",S119),O119,0)+(J119*K$3)+(K119*K$4)+(L119*K$5)+(M119*K$6)+E119)*1.1)*IF(EXACT("Yes",MP5!H$8),1.05,1)*(0.05*C$5)),((IF(EXACT("Y",S119),O119,0)+(J119*K$3)+(K119*K$4)+(L119*K$5)+(M119*K$6)+E119)*IF(EXACT("Yes",MP5!H$8),1.05,1)*(0.05*C$5))))</f>
        <v>50.75</v>
      </c>
      <c r="AD119" s="89">
        <f>F119+(J119*I$3)+(K119*I$4)+(L119*I$5)+(M119*I$6)+IF(EXACT("Y",S119),P119,0)+((IF(EXACT("Human",MP5!H$13),(((IF(EXACT("Y",S119),O119,0)+(J119*K$3)+(K119*K$4)+(L119*K$5)+(M119*K$6)+E119)*1.1)*IF(EXACT("Yes",MP5!H$8),1.05,1)*(0.05*C$5)),((IF(EXACT("Y",S119),O119,0)+(J119*K$3)+(K119*K$4)+(L119*K$5)+(M119*K$6)+E119)*IF(EXACT("Yes",MP5!H$8),1.05,1)*(0.05*C$5))))*IF(EXACT("Yes",MP5!H$15),1.1,1))</f>
        <v>51.225</v>
      </c>
    </row>
    <row r="120" spans="1:30" ht="12.75">
      <c r="A120" s="51">
        <f t="shared" si="67"/>
        <v>99.2</v>
      </c>
      <c r="B120" s="53" t="s">
        <v>118</v>
      </c>
      <c r="C120" s="52">
        <v>18</v>
      </c>
      <c r="D120" s="51">
        <v>21</v>
      </c>
      <c r="E120" s="51">
        <v>19</v>
      </c>
      <c r="F120" s="51">
        <v>46</v>
      </c>
      <c r="G120" s="51"/>
      <c r="H120" s="51"/>
      <c r="I120" s="51"/>
      <c r="J120" s="52"/>
      <c r="K120" s="51"/>
      <c r="L120" s="51"/>
      <c r="M120" s="51"/>
      <c r="N120" s="52"/>
      <c r="O120" s="51"/>
      <c r="P120" s="51"/>
      <c r="Q120" s="51"/>
      <c r="R120" s="47">
        <f t="shared" si="66"/>
        <v>0</v>
      </c>
      <c r="S120" s="51" t="str">
        <f t="shared" si="68"/>
        <v>N</v>
      </c>
      <c r="T120" s="52">
        <f t="shared" si="69"/>
        <v>0</v>
      </c>
      <c r="U120" s="51">
        <f t="shared" si="70"/>
        <v>21</v>
      </c>
      <c r="V120" s="51">
        <f t="shared" si="71"/>
        <v>21.945000000000004</v>
      </c>
      <c r="W120" s="92">
        <f>(ROUNDDOWN((Y120-T120)*X!B$8,2))+T120</f>
        <v>8.61</v>
      </c>
      <c r="X120" s="89">
        <f>(ROUNDDOWN((Z120-T120)*X!B$8,2))+T120</f>
        <v>10.69</v>
      </c>
      <c r="Y120" s="92">
        <f>(5*((0.001+X!H$3*SQRT(MP5!D$6+U120)*(MP5!D$5+V120))-(0.001+X!H$3*SQRT(MP5!D$6)*(MP5!D$5))))+T120</f>
        <v>28.726255544249106</v>
      </c>
      <c r="Z120" s="89">
        <f>(5*((0.001+X!H$3*SQRT(MP5!E$6+(U120*IF(EXACT("Yes",MP5!H$15),1.1,1)))*(MP5!E$5+(V120*IF(EXACT("Yes",MP5!H$15),1.1,1))))-(0.001+X!H$3*SQRT(MP5!E$6)*(MP5!E$5))))+T120</f>
        <v>35.640298215707276</v>
      </c>
      <c r="AA120" s="81">
        <f t="shared" si="72"/>
        <v>14.644876663274733</v>
      </c>
      <c r="AB120" s="89">
        <f t="shared" si="73"/>
        <v>18.175089464712183</v>
      </c>
      <c r="AC120" s="92">
        <f>F120+(J120*I$3)+(K120*I$4)+(L120*I$5)+(M120*I$6)+IF(EXACT("Y",S120),P120,0)+(IF(EXACT("Human",MP5!H$13),(((IF(EXACT("Y",S120),O120,0)+(J120*K$3)+(K120*K$4)+(L120*K$5)+(M120*K$6)+E120)*1.1)*IF(EXACT("Yes",MP5!H$8),1.05,1)*(0.05*C$5)),((IF(EXACT("Y",S120),O120,0)+(J120*K$3)+(K120*K$4)+(L120*K$5)+(M120*K$6)+E120)*IF(EXACT("Yes",MP5!H$8),1.05,1)*(0.05*C$5))))</f>
        <v>50.75</v>
      </c>
      <c r="AD120" s="89">
        <f>F120+(J120*I$3)+(K120*I$4)+(L120*I$5)+(M120*I$6)+IF(EXACT("Y",S120),P120,0)+((IF(EXACT("Human",MP5!H$13),(((IF(EXACT("Y",S120),O120,0)+(J120*K$3)+(K120*K$4)+(L120*K$5)+(M120*K$6)+E120)*1.1)*IF(EXACT("Yes",MP5!H$8),1.05,1)*(0.05*C$5)),((IF(EXACT("Y",S120),O120,0)+(J120*K$3)+(K120*K$4)+(L120*K$5)+(M120*K$6)+E120)*IF(EXACT("Yes",MP5!H$8),1.05,1)*(0.05*C$5))))*IF(EXACT("Yes",MP5!H$15),1.1,1))</f>
        <v>51.225</v>
      </c>
    </row>
    <row r="121" spans="1:30" ht="12.75">
      <c r="A121" s="51">
        <f>C121*W$6+D121*Z$3+E121*Y$3+F121*X$3+H121*W$3+J121*X$6+K121*Z$6+L121*Y$6+G121*W$9+I121*AH138+M121*Z$9+(IF(S121="Y",((P121*X$3)+(Q121*W$3)+(O121*Y$3)+(N121*Z$3)),0))</f>
        <v>0</v>
      </c>
      <c r="B121" s="50"/>
      <c r="C121" s="49"/>
      <c r="D121" s="48"/>
      <c r="E121" s="48"/>
      <c r="F121" s="48"/>
      <c r="G121" s="48"/>
      <c r="H121" s="48"/>
      <c r="I121" s="48"/>
      <c r="J121" s="49"/>
      <c r="K121" s="48"/>
      <c r="L121" s="48"/>
      <c r="M121" s="48"/>
      <c r="N121" s="49"/>
      <c r="O121" s="48"/>
      <c r="P121" s="48"/>
      <c r="Q121" s="48"/>
      <c r="R121" s="47">
        <f t="shared" si="66"/>
        <v>0</v>
      </c>
      <c r="S121" s="51" t="str">
        <f t="shared" si="68"/>
        <v>N</v>
      </c>
      <c r="T121" s="52">
        <f t="shared" si="69"/>
        <v>0</v>
      </c>
      <c r="U121" s="51">
        <f t="shared" si="70"/>
        <v>0</v>
      </c>
      <c r="V121" s="51">
        <f t="shared" si="71"/>
        <v>0</v>
      </c>
      <c r="W121" s="92">
        <f>(ROUNDDOWN((Y121-T121)*X!B$8,2))+T121</f>
        <v>0</v>
      </c>
      <c r="X121" s="89">
        <f>(ROUNDDOWN((Z121-T121)*X!B$8,2))+T121</f>
        <v>0</v>
      </c>
      <c r="Y121" s="92">
        <f>(5*((0.001+X!H$3*SQRT(MP5!D$6+U121)*(MP5!D$5+V121))-(0.001+X!H$3*SQRT(MP5!D$6)*(MP5!D$5))))+T121</f>
        <v>0</v>
      </c>
      <c r="Z121" s="89">
        <f>(5*((0.001+X!H$3*SQRT(MP5!E$6+(U121*IF(EXACT("Yes",MP5!H$15),1.1,1)))*(MP5!E$5+(V121*IF(EXACT("Yes",MP5!H$15),1.1,1))))-(0.001+X!H$3*SQRT(MP5!E$6)*(MP5!E$5))))+T121</f>
        <v>0</v>
      </c>
      <c r="AA121" s="81">
        <f t="shared" si="72"/>
        <v>0</v>
      </c>
      <c r="AB121" s="89">
        <f t="shared" si="73"/>
        <v>0</v>
      </c>
      <c r="AC121" s="92">
        <f>F121+(J121*I$3)+(K121*I$4)+(L121*I$5)+(M121*I$6)+IF(EXACT("Y",S121),P121,0)+(IF(EXACT("Human",MP5!H$13),(((IF(EXACT("Y",S121),O121,0)+(J121*K$3)+(K121*K$4)+(L121*K$5)+(M121*K$6)+E121)*1.1)*IF(EXACT("Yes",MP5!H$8),1.05,1)*(0.05*C$5)),((IF(EXACT("Y",S121),O121,0)+(J121*K$3)+(K121*K$4)+(L121*K$5)+(M121*K$6)+E121)*IF(EXACT("Yes",MP5!H$8),1.05,1)*(0.05*C$5))))</f>
        <v>0</v>
      </c>
      <c r="AD121" s="89">
        <f>F121+(J121*I$3)+(K121*I$4)+(L121*I$5)+(M121*I$6)+IF(EXACT("Y",S121),P121,0)+((IF(EXACT("Human",MP5!H$13),(((IF(EXACT("Y",S121),O121,0)+(J121*K$3)+(K121*K$4)+(L121*K$5)+(M121*K$6)+E121)*1.1)*IF(EXACT("Yes",MP5!H$8),1.05,1)*(0.05*C$5)),((IF(EXACT("Y",S121),O121,0)+(J121*K$3)+(K121*K$4)+(L121*K$5)+(M121*K$6)+E121)*IF(EXACT("Yes",MP5!H$8),1.05,1)*(0.05*C$5))))*IF(EXACT("Yes",MP5!H$15),1.1,1))</f>
        <v>0</v>
      </c>
    </row>
    <row r="122" spans="1:30" ht="12.75">
      <c r="A122" s="51">
        <f>C122*W$6+D122*Z$3+E122*Y$3+F122*X$3+H122*W$3+J122*X$6+K122*Z$6+L122*Y$6+G122*W$9+I122*AH140+M122*Z$9+(IF(S122="Y",((P122*X$3)+(Q122*W$3)+(O122*Y$3)+(N122*Z$3)),0))</f>
        <v>0</v>
      </c>
      <c r="B122" s="50"/>
      <c r="C122" s="49"/>
      <c r="D122" s="48"/>
      <c r="E122" s="48"/>
      <c r="F122" s="48"/>
      <c r="G122" s="48"/>
      <c r="H122" s="48"/>
      <c r="I122" s="48"/>
      <c r="J122" s="49"/>
      <c r="K122" s="48"/>
      <c r="L122" s="48"/>
      <c r="M122" s="48"/>
      <c r="N122" s="49"/>
      <c r="O122" s="48"/>
      <c r="P122" s="48"/>
      <c r="Q122" s="48"/>
      <c r="R122" s="47">
        <f t="shared" si="66"/>
        <v>0</v>
      </c>
      <c r="S122" s="51" t="str">
        <f t="shared" si="68"/>
        <v>N</v>
      </c>
      <c r="T122" s="52">
        <f t="shared" si="69"/>
        <v>0</v>
      </c>
      <c r="U122" s="51">
        <f t="shared" si="70"/>
        <v>0</v>
      </c>
      <c r="V122" s="51">
        <f t="shared" si="71"/>
        <v>0</v>
      </c>
      <c r="W122" s="92">
        <f>(ROUNDDOWN((Y122-T122)*X!B$8,2))+T122</f>
        <v>0</v>
      </c>
      <c r="X122" s="89">
        <f>(ROUNDDOWN((Z122-T122)*X!B$8,2))+T122</f>
        <v>0</v>
      </c>
      <c r="Y122" s="92">
        <f>(5*((0.001+X!H$3*SQRT(MP5!D$6+U122)*(MP5!D$5+V122))-(0.001+X!H$3*SQRT(MP5!D$6)*(MP5!D$5))))+T122</f>
        <v>0</v>
      </c>
      <c r="Z122" s="89">
        <f>(5*((0.001+X!H$3*SQRT(MP5!E$6+(U122*IF(EXACT("Yes",MP5!H$15),1.1,1)))*(MP5!E$5+(V122*IF(EXACT("Yes",MP5!H$15),1.1,1))))-(0.001+X!H$3*SQRT(MP5!E$6)*(MP5!E$5))))+T122</f>
        <v>0</v>
      </c>
      <c r="AA122" s="81">
        <f t="shared" si="72"/>
        <v>0</v>
      </c>
      <c r="AB122" s="89">
        <f t="shared" si="73"/>
        <v>0</v>
      </c>
      <c r="AC122" s="92">
        <f>F122+(J122*I$3)+(K122*I$4)+(L122*I$5)+(M122*I$6)+IF(EXACT("Y",S122),P122,0)+(IF(EXACT("Human",MP5!H$13),(((IF(EXACT("Y",S122),O122,0)+(J122*K$3)+(K122*K$4)+(L122*K$5)+(M122*K$6)+E122)*1.1)*IF(EXACT("Yes",MP5!H$8),1.05,1)*(0.05*C$5)),((IF(EXACT("Y",S122),O122,0)+(J122*K$3)+(K122*K$4)+(L122*K$5)+(M122*K$6)+E122)*IF(EXACT("Yes",MP5!H$8),1.05,1)*(0.05*C$5))))</f>
        <v>0</v>
      </c>
      <c r="AD122" s="89">
        <f>F122+(J122*I$3)+(K122*I$4)+(L122*I$5)+(M122*I$6)+IF(EXACT("Y",S122),P122,0)+((IF(EXACT("Human",MP5!H$13),(((IF(EXACT("Y",S122),O122,0)+(J122*K$3)+(K122*K$4)+(L122*K$5)+(M122*K$6)+E122)*1.1)*IF(EXACT("Yes",MP5!H$8),1.05,1)*(0.05*C$5)),((IF(EXACT("Y",S122),O122,0)+(J122*K$3)+(K122*K$4)+(L122*K$5)+(M122*K$6)+E122)*IF(EXACT("Yes",MP5!H$8),1.05,1)*(0.05*C$5))))*IF(EXACT("Yes",MP5!H$15),1.1,1))</f>
        <v>0</v>
      </c>
    </row>
    <row r="123" spans="1:30" ht="12.75">
      <c r="A123" s="59" t="s">
        <v>77</v>
      </c>
      <c r="B123" s="63" t="s">
        <v>117</v>
      </c>
      <c r="C123" s="62" t="s">
        <v>75</v>
      </c>
      <c r="D123" s="60" t="s">
        <v>68</v>
      </c>
      <c r="E123" s="60" t="s">
        <v>67</v>
      </c>
      <c r="F123" s="60" t="s">
        <v>66</v>
      </c>
      <c r="G123" s="60" t="s">
        <v>74</v>
      </c>
      <c r="H123" s="60" t="s">
        <v>65</v>
      </c>
      <c r="I123" s="60" t="s">
        <v>73</v>
      </c>
      <c r="J123" s="61" t="s">
        <v>72</v>
      </c>
      <c r="K123" s="59" t="s">
        <v>71</v>
      </c>
      <c r="L123" s="59" t="s">
        <v>70</v>
      </c>
      <c r="M123" s="59" t="s">
        <v>69</v>
      </c>
      <c r="N123" s="61" t="s">
        <v>68</v>
      </c>
      <c r="O123" s="59" t="s">
        <v>67</v>
      </c>
      <c r="P123" s="60" t="s">
        <v>66</v>
      </c>
      <c r="Q123" s="59" t="s">
        <v>65</v>
      </c>
      <c r="R123" s="47">
        <f t="shared" si="66"/>
        <v>3</v>
      </c>
      <c r="S123" s="59" t="s">
        <v>64</v>
      </c>
      <c r="T123" s="61" t="s">
        <v>65</v>
      </c>
      <c r="U123" s="59" t="s">
        <v>68</v>
      </c>
      <c r="V123" s="59" t="s">
        <v>67</v>
      </c>
      <c r="W123" s="90" t="s">
        <v>1</v>
      </c>
      <c r="X123" s="91" t="s">
        <v>2</v>
      </c>
      <c r="Y123" s="90" t="s">
        <v>1</v>
      </c>
      <c r="Z123" s="91" t="s">
        <v>2</v>
      </c>
      <c r="AA123" s="59" t="s">
        <v>1</v>
      </c>
      <c r="AB123" s="59" t="s">
        <v>2</v>
      </c>
      <c r="AC123" s="90" t="s">
        <v>1</v>
      </c>
      <c r="AD123" s="91" t="s">
        <v>2</v>
      </c>
    </row>
    <row r="124" spans="1:30" ht="12.75">
      <c r="A124" s="51">
        <f aca="true" t="shared" si="74" ref="A124:A136">C124*W$6+D124*Z$3+E124*Y$3+F124*X$3+H124*W$3+J124*X$6+K124*Z$6+L124*Y$6+G124*W$9+I124*AH142+M124*Z$9+(IF(S124="Y",((P124*X$3)+(Q124*W$3)+(O124*Y$3)+(N124*Z$3)),0))</f>
        <v>157.4</v>
      </c>
      <c r="B124" s="50" t="s">
        <v>115</v>
      </c>
      <c r="C124" s="49">
        <v>27</v>
      </c>
      <c r="D124" s="48">
        <v>28</v>
      </c>
      <c r="E124" s="48"/>
      <c r="F124" s="48">
        <v>64</v>
      </c>
      <c r="G124" s="48">
        <v>30</v>
      </c>
      <c r="H124" s="48">
        <v>8</v>
      </c>
      <c r="I124" s="48"/>
      <c r="J124" s="49"/>
      <c r="K124" s="48"/>
      <c r="L124" s="48"/>
      <c r="M124" s="48"/>
      <c r="N124" s="49"/>
      <c r="O124" s="48"/>
      <c r="P124" s="48"/>
      <c r="Q124" s="48"/>
      <c r="R124" s="47">
        <f t="shared" si="66"/>
        <v>0</v>
      </c>
      <c r="S124" s="51" t="str">
        <f aca="true" t="shared" si="75" ref="S124:S136">IF(R124&gt;0,"Y","N")</f>
        <v>N</v>
      </c>
      <c r="T124" s="52">
        <f aca="true" t="shared" si="76" ref="T124:T136">H124+(J124*H$3)+(K124*H$4)+(L124*H$5)+(M124*H$6)+IF(EXACT("Y",S124),Q124,0)</f>
        <v>8</v>
      </c>
      <c r="U124" s="51">
        <f aca="true" t="shared" si="77" ref="U124:U136">(D124+(J124*J$3)+(K124*J$4)+(L124*J$5)+(M124*J$6)+IF(EXACT("Y",S124),N124,0))*(1+C$6)</f>
        <v>28</v>
      </c>
      <c r="V124" s="51">
        <f aca="true" t="shared" si="78" ref="V124:V136">((((E124+(J124*K$3)+(K124*K$4)+(L124*K$5)+(M124*K$6)+IF(EXACT("Y",S124),O124,0))*IF(EXACT("Yes",C$3),1.1,1))*IF(EXACT("Yes",C$4),1.05,1)))*(1+C$6)</f>
        <v>0</v>
      </c>
      <c r="W124" s="92">
        <f>(ROUNDDOWN((Y124-T124)*X!B$8,2))+T124</f>
        <v>10.36</v>
      </c>
      <c r="X124" s="89">
        <f>(ROUNDDOWN((Z124-T124)*X!B$8,2))+T124</f>
        <v>11.31</v>
      </c>
      <c r="Y124" s="92">
        <f>(5*((0.001+X!H$3*SQRT(MP5!D$6+U124)*(MP5!D$5+V124))-(0.001+X!H$3*SQRT(MP5!D$6)*(MP5!D$5))))+T124</f>
        <v>15.883904582731596</v>
      </c>
      <c r="Z124" s="89">
        <f>(5*((0.001+X!H$3*SQRT(MP5!E$6+(U124*IF(EXACT("Yes",MP5!H$15),1.1,1)))*(MP5!E$5+(V124*IF(EXACT("Yes",MP5!H$15),1.1,1))))-(0.001+X!H$3*SQRT(MP5!E$6)*(MP5!E$5))))+T124</f>
        <v>19.037459975129593</v>
      </c>
      <c r="AA124" s="81">
        <f aca="true" t="shared" si="79" ref="AA124:AA136">((Y124-W124)*(1-C$7))+W124</f>
        <v>12.017171374819478</v>
      </c>
      <c r="AB124" s="89">
        <f aca="true" t="shared" si="80" ref="AB124:AB136">((Z124-X124)*(1-C$7))+X124</f>
        <v>13.628237992538878</v>
      </c>
      <c r="AC124" s="92">
        <f>F124+(J124*I$3)+(K124*I$4)+(L124*I$5)+(M124*I$6)+IF(EXACT("Y",S124),P124,0)+(IF(EXACT("Human",MP5!H$13),(((IF(EXACT("Y",S124),O124,0)+(J124*K$3)+(K124*K$4)+(L124*K$5)+(M124*K$6)+E124)*1.1)*IF(EXACT("Yes",MP5!H$8),1.05,1)*(0.05*C$5)),((IF(EXACT("Y",S124),O124,0)+(J124*K$3)+(K124*K$4)+(L124*K$5)+(M124*K$6)+E124)*IF(EXACT("Yes",MP5!H$8),1.05,1)*(0.05*C$5))))</f>
        <v>64</v>
      </c>
      <c r="AD124" s="89">
        <f>F124+(J124*I$3)+(K124*I$4)+(L124*I$5)+(M124*I$6)+IF(EXACT("Y",S124),P124,0)+((IF(EXACT("Human",MP5!H$13),(((IF(EXACT("Y",S124),O124,0)+(J124*K$3)+(K124*K$4)+(L124*K$5)+(M124*K$6)+E124)*1.1)*IF(EXACT("Yes",MP5!H$8),1.05,1)*(0.05*C$5)),((IF(EXACT("Y",S124),O124,0)+(J124*K$3)+(K124*K$4)+(L124*K$5)+(M124*K$6)+E124)*IF(EXACT("Yes",MP5!H$8),1.05,1)*(0.05*C$5))))*IF(EXACT("Yes",MP5!H$15),1.1,1))</f>
        <v>64</v>
      </c>
    </row>
    <row r="125" spans="1:30" ht="12.75">
      <c r="A125" s="51">
        <f t="shared" si="74"/>
        <v>153.9</v>
      </c>
      <c r="B125" s="50" t="s">
        <v>116</v>
      </c>
      <c r="C125" s="49">
        <v>24</v>
      </c>
      <c r="D125" s="48">
        <v>25</v>
      </c>
      <c r="E125" s="48"/>
      <c r="F125" s="48">
        <v>73</v>
      </c>
      <c r="G125" s="48">
        <v>22</v>
      </c>
      <c r="H125" s="48">
        <v>8</v>
      </c>
      <c r="I125" s="48"/>
      <c r="J125" s="49"/>
      <c r="K125" s="48"/>
      <c r="L125" s="48"/>
      <c r="M125" s="48"/>
      <c r="N125" s="49"/>
      <c r="O125" s="48"/>
      <c r="P125" s="48"/>
      <c r="Q125" s="48"/>
      <c r="R125" s="47">
        <f t="shared" si="66"/>
        <v>0</v>
      </c>
      <c r="S125" s="51" t="str">
        <f t="shared" si="75"/>
        <v>N</v>
      </c>
      <c r="T125" s="52">
        <f t="shared" si="76"/>
        <v>8</v>
      </c>
      <c r="U125" s="51">
        <f t="shared" si="77"/>
        <v>25</v>
      </c>
      <c r="V125" s="51">
        <f t="shared" si="78"/>
        <v>0</v>
      </c>
      <c r="W125" s="92">
        <f>(ROUNDDOWN((Y125-T125)*X!B$8,2))+T125</f>
        <v>10.11</v>
      </c>
      <c r="X125" s="89">
        <f>(ROUNDDOWN((Z125-T125)*X!B$8,2))+T125</f>
        <v>10.96</v>
      </c>
      <c r="Y125" s="92">
        <f>(5*((0.001+X!H$3*SQRT(MP5!D$6+U125)*(MP5!D$5+V125))-(0.001+X!H$3*SQRT(MP5!D$6)*(MP5!D$5))))+T125</f>
        <v>15.049878719230378</v>
      </c>
      <c r="Z125" s="89">
        <f>(5*((0.001+X!H$3*SQRT(MP5!E$6+(U125*IF(EXACT("Yes",MP5!H$15),1.1,1)))*(MP5!E$5+(V125*IF(EXACT("Yes",MP5!H$15),1.1,1))))-(0.001+X!H$3*SQRT(MP5!E$6)*(MP5!E$5))))+T125</f>
        <v>17.868705316839055</v>
      </c>
      <c r="AA125" s="81">
        <f t="shared" si="79"/>
        <v>11.591963615769114</v>
      </c>
      <c r="AB125" s="89">
        <f t="shared" si="80"/>
        <v>13.032611595051717</v>
      </c>
      <c r="AC125" s="92">
        <f>F125+(J125*I$3)+(K125*I$4)+(L125*I$5)+(M125*I$6)+IF(EXACT("Y",S125),P125,0)+(IF(EXACT("Human",MP5!H$13),(((IF(EXACT("Y",S125),O125,0)+(J125*K$3)+(K125*K$4)+(L125*K$5)+(M125*K$6)+E125)*1.1)*IF(EXACT("Yes",MP5!H$8),1.05,1)*(0.05*C$5)),((IF(EXACT("Y",S125),O125,0)+(J125*K$3)+(K125*K$4)+(L125*K$5)+(M125*K$6)+E125)*IF(EXACT("Yes",MP5!H$8),1.05,1)*(0.05*C$5))))</f>
        <v>73</v>
      </c>
      <c r="AD125" s="89">
        <f>F125+(J125*I$3)+(K125*I$4)+(L125*I$5)+(M125*I$6)+IF(EXACT("Y",S125),P125,0)+((IF(EXACT("Human",MP5!H$13),(((IF(EXACT("Y",S125),O125,0)+(J125*K$3)+(K125*K$4)+(L125*K$5)+(M125*K$6)+E125)*1.1)*IF(EXACT("Yes",MP5!H$8),1.05,1)*(0.05*C$5)),((IF(EXACT("Y",S125),O125,0)+(J125*K$3)+(K125*K$4)+(L125*K$5)+(M125*K$6)+E125)*IF(EXACT("Yes",MP5!H$8),1.05,1)*(0.05*C$5))))*IF(EXACT("Yes",MP5!H$15),1.1,1))</f>
        <v>73</v>
      </c>
    </row>
    <row r="126" spans="1:30" ht="12.75">
      <c r="A126" s="51">
        <f t="shared" si="74"/>
        <v>149.8</v>
      </c>
      <c r="B126" s="53" t="s">
        <v>111</v>
      </c>
      <c r="C126" s="52">
        <v>20</v>
      </c>
      <c r="D126" s="51">
        <v>20</v>
      </c>
      <c r="E126" s="51"/>
      <c r="F126" s="48">
        <v>73</v>
      </c>
      <c r="G126" s="51">
        <v>30</v>
      </c>
      <c r="H126" s="51">
        <v>6</v>
      </c>
      <c r="I126" s="51"/>
      <c r="J126" s="52"/>
      <c r="K126" s="51"/>
      <c r="L126" s="51"/>
      <c r="M126" s="51"/>
      <c r="N126" s="52"/>
      <c r="O126" s="51"/>
      <c r="P126" s="51"/>
      <c r="Q126" s="51"/>
      <c r="R126" s="47">
        <f t="shared" si="66"/>
        <v>0</v>
      </c>
      <c r="S126" s="51" t="str">
        <f t="shared" si="75"/>
        <v>N</v>
      </c>
      <c r="T126" s="52">
        <f t="shared" si="76"/>
        <v>6</v>
      </c>
      <c r="U126" s="51">
        <f t="shared" si="77"/>
        <v>20</v>
      </c>
      <c r="V126" s="51">
        <f t="shared" si="78"/>
        <v>0</v>
      </c>
      <c r="W126" s="92">
        <f>(ROUNDDOWN((Y126-T126)*X!B$8,2))+T126</f>
        <v>7.6899999999999995</v>
      </c>
      <c r="X126" s="89">
        <f>(ROUNDDOWN((Z126-T126)*X!B$8,2))+T126</f>
        <v>8.370000000000001</v>
      </c>
      <c r="Y126" s="92">
        <f>(5*((0.001+X!H$3*SQRT(MP5!D$6+U126)*(MP5!D$5+V126))-(0.001+X!H$3*SQRT(MP5!D$6)*(MP5!D$5))))+T126</f>
        <v>11.65425584326487</v>
      </c>
      <c r="Z126" s="89">
        <f>(5*((0.001+X!H$3*SQRT(MP5!E$6+(U126*IF(EXACT("Yes",MP5!H$15),1.1,1)))*(MP5!E$5+(V126*IF(EXACT("Yes",MP5!H$15),1.1,1))))-(0.001+X!H$3*SQRT(MP5!E$6)*(MP5!E$5))))+T126</f>
        <v>13.913542818544954</v>
      </c>
      <c r="AA126" s="81">
        <f t="shared" si="79"/>
        <v>8.879276752979461</v>
      </c>
      <c r="AB126" s="89">
        <f t="shared" si="80"/>
        <v>10.033062845563487</v>
      </c>
      <c r="AC126" s="92">
        <f>F126+(J126*I$3)+(K126*I$4)+(L126*I$5)+(M126*I$6)+IF(EXACT("Y",S126),P126,0)+(IF(EXACT("Human",MP5!H$13),(((IF(EXACT("Y",S126),O126,0)+(J126*K$3)+(K126*K$4)+(L126*K$5)+(M126*K$6)+E126)*1.1)*IF(EXACT("Yes",MP5!H$8),1.05,1)*(0.05*C$5)),((IF(EXACT("Y",S126),O126,0)+(J126*K$3)+(K126*K$4)+(L126*K$5)+(M126*K$6)+E126)*IF(EXACT("Yes",MP5!H$8),1.05,1)*(0.05*C$5))))</f>
        <v>73</v>
      </c>
      <c r="AD126" s="89">
        <f>F126+(J126*I$3)+(K126*I$4)+(L126*I$5)+(M126*I$6)+IF(EXACT("Y",S126),P126,0)+((IF(EXACT("Human",MP5!H$13),(((IF(EXACT("Y",S126),O126,0)+(J126*K$3)+(K126*K$4)+(L126*K$5)+(M126*K$6)+E126)*1.1)*IF(EXACT("Yes",MP5!H$8),1.05,1)*(0.05*C$5)),((IF(EXACT("Y",S126),O126,0)+(J126*K$3)+(K126*K$4)+(L126*K$5)+(M126*K$6)+E126)*IF(EXACT("Yes",MP5!H$8),1.05,1)*(0.05*C$5))))*IF(EXACT("Yes",MP5!H$15),1.1,1))</f>
        <v>73</v>
      </c>
    </row>
    <row r="127" spans="1:30" ht="12.75">
      <c r="A127" s="51">
        <f t="shared" si="74"/>
        <v>138.1</v>
      </c>
      <c r="B127" s="53" t="s">
        <v>112</v>
      </c>
      <c r="C127" s="52">
        <v>21</v>
      </c>
      <c r="D127" s="51">
        <v>14</v>
      </c>
      <c r="E127" s="51">
        <v>27</v>
      </c>
      <c r="F127" s="48">
        <v>75</v>
      </c>
      <c r="G127" s="51"/>
      <c r="H127" s="51"/>
      <c r="I127" s="51"/>
      <c r="J127" s="52"/>
      <c r="K127" s="51"/>
      <c r="L127" s="51"/>
      <c r="M127" s="51"/>
      <c r="N127" s="52"/>
      <c r="O127" s="51"/>
      <c r="P127" s="51"/>
      <c r="Q127" s="51"/>
      <c r="R127" s="47">
        <f t="shared" si="66"/>
        <v>0</v>
      </c>
      <c r="S127" s="51" t="str">
        <f t="shared" si="75"/>
        <v>N</v>
      </c>
      <c r="T127" s="52">
        <f t="shared" si="76"/>
        <v>0</v>
      </c>
      <c r="U127" s="51">
        <f t="shared" si="77"/>
        <v>14</v>
      </c>
      <c r="V127" s="51">
        <f t="shared" si="78"/>
        <v>31.185000000000006</v>
      </c>
      <c r="W127" s="92">
        <f>(ROUNDDOWN((Y127-T127)*X!B$8,2))+T127</f>
        <v>10.83</v>
      </c>
      <c r="X127" s="89">
        <f>(ROUNDDOWN((Z127-T127)*X!B$8,2))+T127</f>
        <v>13.24</v>
      </c>
      <c r="Y127" s="92">
        <f>(5*((0.001+X!H$3*SQRT(MP5!D$6+U127)*(MP5!D$5+V127))-(0.001+X!H$3*SQRT(MP5!D$6)*(MP5!D$5))))+T127</f>
        <v>36.1298836183645</v>
      </c>
      <c r="Z127" s="89">
        <f>(5*((0.001+X!H$3*SQRT(MP5!E$6+(U127*IF(EXACT("Yes",MP5!H$15),1.1,1)))*(MP5!E$5+(V127*IF(EXACT("Yes",MP5!H$15),1.1,1))))-(0.001+X!H$3*SQRT(MP5!E$6)*(MP5!E$5))))+T127</f>
        <v>44.14523165274581</v>
      </c>
      <c r="AA127" s="81">
        <f t="shared" si="79"/>
        <v>18.419965085509354</v>
      </c>
      <c r="AB127" s="89">
        <f t="shared" si="80"/>
        <v>22.511569495823743</v>
      </c>
      <c r="AC127" s="92">
        <f>F127+(J127*I$3)+(K127*I$4)+(L127*I$5)+(M127*I$6)+IF(EXACT("Y",S127),P127,0)+(IF(EXACT("Human",MP5!H$13),(((IF(EXACT("Y",S127),O127,0)+(J127*K$3)+(K127*K$4)+(L127*K$5)+(M127*K$6)+E127)*1.1)*IF(EXACT("Yes",MP5!H$8),1.05,1)*(0.05*C$5)),((IF(EXACT("Y",S127),O127,0)+(J127*K$3)+(K127*K$4)+(L127*K$5)+(M127*K$6)+E127)*IF(EXACT("Yes",MP5!H$8),1.05,1)*(0.05*C$5))))</f>
        <v>81.75</v>
      </c>
      <c r="AD127" s="89">
        <f>F127+(J127*I$3)+(K127*I$4)+(L127*I$5)+(M127*I$6)+IF(EXACT("Y",S127),P127,0)+((IF(EXACT("Human",MP5!H$13),(((IF(EXACT("Y",S127),O127,0)+(J127*K$3)+(K127*K$4)+(L127*K$5)+(M127*K$6)+E127)*1.1)*IF(EXACT("Yes",MP5!H$8),1.05,1)*(0.05*C$5)),((IF(EXACT("Y",S127),O127,0)+(J127*K$3)+(K127*K$4)+(L127*K$5)+(M127*K$6)+E127)*IF(EXACT("Yes",MP5!H$8),1.05,1)*(0.05*C$5))))*IF(EXACT("Yes",MP5!H$15),1.1,1))</f>
        <v>82.425</v>
      </c>
    </row>
    <row r="128" spans="1:30" ht="12.75">
      <c r="A128" s="51">
        <f t="shared" si="74"/>
        <v>132.5</v>
      </c>
      <c r="B128" s="53" t="s">
        <v>113</v>
      </c>
      <c r="C128" s="52">
        <v>28</v>
      </c>
      <c r="D128" s="51">
        <v>25</v>
      </c>
      <c r="E128" s="51"/>
      <c r="F128" s="51">
        <v>64</v>
      </c>
      <c r="G128" s="51"/>
      <c r="H128" s="51">
        <v>10</v>
      </c>
      <c r="I128" s="51"/>
      <c r="J128" s="52"/>
      <c r="K128" s="51"/>
      <c r="L128" s="51"/>
      <c r="M128" s="51"/>
      <c r="N128" s="52"/>
      <c r="O128" s="51"/>
      <c r="P128" s="51"/>
      <c r="Q128" s="51"/>
      <c r="R128" s="47">
        <f t="shared" si="66"/>
        <v>0</v>
      </c>
      <c r="S128" s="51" t="str">
        <f t="shared" si="75"/>
        <v>N</v>
      </c>
      <c r="T128" s="52">
        <f t="shared" si="76"/>
        <v>10</v>
      </c>
      <c r="U128" s="51">
        <f t="shared" si="77"/>
        <v>25</v>
      </c>
      <c r="V128" s="51">
        <f t="shared" si="78"/>
        <v>0</v>
      </c>
      <c r="W128" s="92">
        <f>(ROUNDDOWN((Y128-T128)*X!B$8,2))+T128</f>
        <v>12.11</v>
      </c>
      <c r="X128" s="89">
        <f>(ROUNDDOWN((Z128-T128)*X!B$8,2))+T128</f>
        <v>12.96</v>
      </c>
      <c r="Y128" s="92">
        <f>(5*((0.001+X!H$3*SQRT(MP5!D$6+U128)*(MP5!D$5+V128))-(0.001+X!H$3*SQRT(MP5!D$6)*(MP5!D$5))))+T128</f>
        <v>17.049878719230378</v>
      </c>
      <c r="Z128" s="89">
        <f>(5*((0.001+X!H$3*SQRT(MP5!E$6+(U128*IF(EXACT("Yes",MP5!H$15),1.1,1)))*(MP5!E$5+(V128*IF(EXACT("Yes",MP5!H$15),1.1,1))))-(0.001+X!H$3*SQRT(MP5!E$6)*(MP5!E$5))))+T128</f>
        <v>19.868705316839055</v>
      </c>
      <c r="AA128" s="81">
        <f t="shared" si="79"/>
        <v>13.591963615769114</v>
      </c>
      <c r="AB128" s="89">
        <f t="shared" si="80"/>
        <v>15.032611595051717</v>
      </c>
      <c r="AC128" s="92">
        <f>F128+(J128*I$3)+(K128*I$4)+(L128*I$5)+(M128*I$6)+IF(EXACT("Y",S128),P128,0)+(IF(EXACT("Human",MP5!H$13),(((IF(EXACT("Y",S128),O128,0)+(J128*K$3)+(K128*K$4)+(L128*K$5)+(M128*K$6)+E128)*1.1)*IF(EXACT("Yes",MP5!H$8),1.05,1)*(0.05*C$5)),((IF(EXACT("Y",S128),O128,0)+(J128*K$3)+(K128*K$4)+(L128*K$5)+(M128*K$6)+E128)*IF(EXACT("Yes",MP5!H$8),1.05,1)*(0.05*C$5))))</f>
        <v>64</v>
      </c>
      <c r="AD128" s="89">
        <f>F128+(J128*I$3)+(K128*I$4)+(L128*I$5)+(M128*I$6)+IF(EXACT("Y",S128),P128,0)+((IF(EXACT("Human",MP5!H$13),(((IF(EXACT("Y",S128),O128,0)+(J128*K$3)+(K128*K$4)+(L128*K$5)+(M128*K$6)+E128)*1.1)*IF(EXACT("Yes",MP5!H$8),1.05,1)*(0.05*C$5)),((IF(EXACT("Y",S128),O128,0)+(J128*K$3)+(K128*K$4)+(L128*K$5)+(M128*K$6)+E128)*IF(EXACT("Yes",MP5!H$8),1.05,1)*(0.05*C$5))))*IF(EXACT("Yes",MP5!H$15),1.1,1))</f>
        <v>64</v>
      </c>
    </row>
    <row r="129" spans="1:30" ht="12.75">
      <c r="A129" s="51">
        <f t="shared" si="74"/>
        <v>122.9</v>
      </c>
      <c r="B129" s="53" t="s">
        <v>107</v>
      </c>
      <c r="C129" s="52"/>
      <c r="D129" s="51">
        <v>17</v>
      </c>
      <c r="E129" s="51"/>
      <c r="F129" s="51">
        <v>62</v>
      </c>
      <c r="G129" s="51">
        <v>30</v>
      </c>
      <c r="H129" s="51">
        <v>8</v>
      </c>
      <c r="I129" s="51"/>
      <c r="J129" s="52"/>
      <c r="K129" s="51"/>
      <c r="L129" s="51"/>
      <c r="M129" s="51"/>
      <c r="N129" s="52"/>
      <c r="O129" s="51"/>
      <c r="P129" s="51"/>
      <c r="Q129" s="51"/>
      <c r="R129" s="47">
        <f t="shared" si="66"/>
        <v>0</v>
      </c>
      <c r="S129" s="51" t="str">
        <f t="shared" si="75"/>
        <v>N</v>
      </c>
      <c r="T129" s="52">
        <f t="shared" si="76"/>
        <v>8</v>
      </c>
      <c r="U129" s="51">
        <f t="shared" si="77"/>
        <v>17</v>
      </c>
      <c r="V129" s="51">
        <f t="shared" si="78"/>
        <v>0</v>
      </c>
      <c r="W129" s="92">
        <f>(ROUNDDOWN((Y129-T129)*X!B$8,2))+T129</f>
        <v>9.44</v>
      </c>
      <c r="X129" s="89">
        <f>(ROUNDDOWN((Z129-T129)*X!B$8,2))+T129</f>
        <v>10.02</v>
      </c>
      <c r="Y129" s="92">
        <f>(5*((0.001+X!H$3*SQRT(MP5!D$6+U129)*(MP5!D$5+V129))-(0.001+X!H$3*SQRT(MP5!D$6)*(MP5!D$5))))+T129</f>
        <v>12.813497037653462</v>
      </c>
      <c r="Z129" s="89">
        <f>(5*((0.001+X!H$3*SQRT(MP5!E$6+(U129*IF(EXACT("Yes",MP5!H$15),1.1,1)))*(MP5!E$5+(V129*IF(EXACT("Yes",MP5!H$15),1.1,1))))-(0.001+X!H$3*SQRT(MP5!E$6)*(MP5!E$5))))+T129</f>
        <v>14.736057811275487</v>
      </c>
      <c r="AA129" s="81">
        <f t="shared" si="79"/>
        <v>10.452049111296038</v>
      </c>
      <c r="AB129" s="89">
        <f t="shared" si="80"/>
        <v>11.434817343382646</v>
      </c>
      <c r="AC129" s="92">
        <f>F129+(J129*I$3)+(K129*I$4)+(L129*I$5)+(M129*I$6)+IF(EXACT("Y",S129),P129,0)+(IF(EXACT("Human",MP5!H$13),(((IF(EXACT("Y",S129),O129,0)+(J129*K$3)+(K129*K$4)+(L129*K$5)+(M129*K$6)+E129)*1.1)*IF(EXACT("Yes",MP5!H$8),1.05,1)*(0.05*C$5)),((IF(EXACT("Y",S129),O129,0)+(J129*K$3)+(K129*K$4)+(L129*K$5)+(M129*K$6)+E129)*IF(EXACT("Yes",MP5!H$8),1.05,1)*(0.05*C$5))))</f>
        <v>62</v>
      </c>
      <c r="AD129" s="89">
        <f>F129+(J129*I$3)+(K129*I$4)+(L129*I$5)+(M129*I$6)+IF(EXACT("Y",S129),P129,0)+((IF(EXACT("Human",MP5!H$13),(((IF(EXACT("Y",S129),O129,0)+(J129*K$3)+(K129*K$4)+(L129*K$5)+(M129*K$6)+E129)*1.1)*IF(EXACT("Yes",MP5!H$8),1.05,1)*(0.05*C$5)),((IF(EXACT("Y",S129),O129,0)+(J129*K$3)+(K129*K$4)+(L129*K$5)+(M129*K$6)+E129)*IF(EXACT("Yes",MP5!H$8),1.05,1)*(0.05*C$5))))*IF(EXACT("Yes",MP5!H$15),1.1,1))</f>
        <v>62</v>
      </c>
    </row>
    <row r="130" spans="1:30" ht="12.75">
      <c r="A130" s="51">
        <f t="shared" si="74"/>
        <v>112.6</v>
      </c>
      <c r="B130" s="53" t="s">
        <v>109</v>
      </c>
      <c r="C130" s="52">
        <v>24</v>
      </c>
      <c r="D130" s="51">
        <v>23</v>
      </c>
      <c r="E130" s="51">
        <v>17</v>
      </c>
      <c r="F130" s="48">
        <v>55</v>
      </c>
      <c r="G130" s="51"/>
      <c r="H130" s="51"/>
      <c r="I130" s="51"/>
      <c r="J130" s="52"/>
      <c r="K130" s="51"/>
      <c r="L130" s="51"/>
      <c r="M130" s="51"/>
      <c r="N130" s="52"/>
      <c r="O130" s="51"/>
      <c r="P130" s="51"/>
      <c r="Q130" s="51"/>
      <c r="R130" s="47">
        <f t="shared" si="66"/>
        <v>0</v>
      </c>
      <c r="S130" s="51" t="str">
        <f t="shared" si="75"/>
        <v>N</v>
      </c>
      <c r="T130" s="52">
        <f t="shared" si="76"/>
        <v>0</v>
      </c>
      <c r="U130" s="51">
        <f t="shared" si="77"/>
        <v>23</v>
      </c>
      <c r="V130" s="51">
        <f t="shared" si="78"/>
        <v>19.635000000000005</v>
      </c>
      <c r="W130" s="92">
        <f>(ROUNDDOWN((Y130-T130)*X!B$8,2))+T130</f>
        <v>8.07</v>
      </c>
      <c r="X130" s="89">
        <f>(ROUNDDOWN((Z130-T130)*X!B$8,2))+T130</f>
        <v>10.07</v>
      </c>
      <c r="Y130" s="92">
        <f>(5*((0.001+X!H$3*SQRT(MP5!D$6+U130)*(MP5!D$5+V130))-(0.001+X!H$3*SQRT(MP5!D$6)*(MP5!D$5))))+T130</f>
        <v>26.926666890369333</v>
      </c>
      <c r="Z130" s="89">
        <f>(5*((0.001+X!H$3*SQRT(MP5!E$6+(U130*IF(EXACT("Yes",MP5!H$15),1.1,1)))*(MP5!E$5+(V130*IF(EXACT("Yes",MP5!H$15),1.1,1))))-(0.001+X!H$3*SQRT(MP5!E$6)*(MP5!E$5))))+T130</f>
        <v>33.59094502880794</v>
      </c>
      <c r="AA130" s="81">
        <f t="shared" si="79"/>
        <v>13.7270000671108</v>
      </c>
      <c r="AB130" s="89">
        <f t="shared" si="80"/>
        <v>17.12628350864238</v>
      </c>
      <c r="AC130" s="92">
        <f>F130+(J130*I$3)+(K130*I$4)+(L130*I$5)+(M130*I$6)+IF(EXACT("Y",S130),P130,0)+(IF(EXACT("Human",MP5!H$13),(((IF(EXACT("Y",S130),O130,0)+(J130*K$3)+(K130*K$4)+(L130*K$5)+(M130*K$6)+E130)*1.1)*IF(EXACT("Yes",MP5!H$8),1.05,1)*(0.05*C$5)),((IF(EXACT("Y",S130),O130,0)+(J130*K$3)+(K130*K$4)+(L130*K$5)+(M130*K$6)+E130)*IF(EXACT("Yes",MP5!H$8),1.05,1)*(0.05*C$5))))</f>
        <v>59.25</v>
      </c>
      <c r="AD130" s="89">
        <f>F130+(J130*I$3)+(K130*I$4)+(L130*I$5)+(M130*I$6)+IF(EXACT("Y",S130),P130,0)+((IF(EXACT("Human",MP5!H$13),(((IF(EXACT("Y",S130),O130,0)+(J130*K$3)+(K130*K$4)+(L130*K$5)+(M130*K$6)+E130)*1.1)*IF(EXACT("Yes",MP5!H$8),1.05,1)*(0.05*C$5)),((IF(EXACT("Y",S130),O130,0)+(J130*K$3)+(K130*K$4)+(L130*K$5)+(M130*K$6)+E130)*IF(EXACT("Yes",MP5!H$8),1.05,1)*(0.05*C$5))))*IF(EXACT("Yes",MP5!H$15),1.1,1))</f>
        <v>59.675</v>
      </c>
    </row>
    <row r="131" spans="1:30" ht="12.75">
      <c r="A131" s="51">
        <f t="shared" si="74"/>
        <v>110.9</v>
      </c>
      <c r="B131" s="53" t="s">
        <v>110</v>
      </c>
      <c r="C131" s="52">
        <v>21</v>
      </c>
      <c r="D131" s="51">
        <v>25</v>
      </c>
      <c r="E131" s="51"/>
      <c r="F131" s="51">
        <v>55</v>
      </c>
      <c r="G131" s="51"/>
      <c r="H131" s="51">
        <v>8</v>
      </c>
      <c r="I131" s="51"/>
      <c r="J131" s="52"/>
      <c r="K131" s="51"/>
      <c r="L131" s="51"/>
      <c r="M131" s="51"/>
      <c r="N131" s="52"/>
      <c r="O131" s="51"/>
      <c r="P131" s="51"/>
      <c r="Q131" s="51"/>
      <c r="R131" s="47">
        <f t="shared" si="66"/>
        <v>0</v>
      </c>
      <c r="S131" s="51" t="str">
        <f t="shared" si="75"/>
        <v>N</v>
      </c>
      <c r="T131" s="52">
        <f t="shared" si="76"/>
        <v>8</v>
      </c>
      <c r="U131" s="51">
        <f t="shared" si="77"/>
        <v>25</v>
      </c>
      <c r="V131" s="51">
        <f t="shared" si="78"/>
        <v>0</v>
      </c>
      <c r="W131" s="92">
        <f>(ROUNDDOWN((Y131-T131)*X!B$8,2))+T131</f>
        <v>10.11</v>
      </c>
      <c r="X131" s="89">
        <f>(ROUNDDOWN((Z131-T131)*X!B$8,2))+T131</f>
        <v>10.96</v>
      </c>
      <c r="Y131" s="92">
        <f>(5*((0.001+X!H$3*SQRT(MP5!D$6+U131)*(MP5!D$5+V131))-(0.001+X!H$3*SQRT(MP5!D$6)*(MP5!D$5))))+T131</f>
        <v>15.049878719230378</v>
      </c>
      <c r="Z131" s="89">
        <f>(5*((0.001+X!H$3*SQRT(MP5!E$6+(U131*IF(EXACT("Yes",MP5!H$15),1.1,1)))*(MP5!E$5+(V131*IF(EXACT("Yes",MP5!H$15),1.1,1))))-(0.001+X!H$3*SQRT(MP5!E$6)*(MP5!E$5))))+T131</f>
        <v>17.868705316839055</v>
      </c>
      <c r="AA131" s="81">
        <f t="shared" si="79"/>
        <v>11.591963615769114</v>
      </c>
      <c r="AB131" s="89">
        <f t="shared" si="80"/>
        <v>13.032611595051717</v>
      </c>
      <c r="AC131" s="92">
        <f>F131+(J131*I$3)+(K131*I$4)+(L131*I$5)+(M131*I$6)+IF(EXACT("Y",S131),P131,0)+(IF(EXACT("Human",MP5!H$13),(((IF(EXACT("Y",S131),O131,0)+(J131*K$3)+(K131*K$4)+(L131*K$5)+(M131*K$6)+E131)*1.1)*IF(EXACT("Yes",MP5!H$8),1.05,1)*(0.05*C$5)),((IF(EXACT("Y",S131),O131,0)+(J131*K$3)+(K131*K$4)+(L131*K$5)+(M131*K$6)+E131)*IF(EXACT("Yes",MP5!H$8),1.05,1)*(0.05*C$5))))</f>
        <v>55</v>
      </c>
      <c r="AD131" s="89">
        <f>F131+(J131*I$3)+(K131*I$4)+(L131*I$5)+(M131*I$6)+IF(EXACT("Y",S131),P131,0)+((IF(EXACT("Human",MP5!H$13),(((IF(EXACT("Y",S131),O131,0)+(J131*K$3)+(K131*K$4)+(L131*K$5)+(M131*K$6)+E131)*1.1)*IF(EXACT("Yes",MP5!H$8),1.05,1)*(0.05*C$5)),((IF(EXACT("Y",S131),O131,0)+(J131*K$3)+(K131*K$4)+(L131*K$5)+(M131*K$6)+E131)*IF(EXACT("Yes",MP5!H$8),1.05,1)*(0.05*C$5))))*IF(EXACT("Yes",MP5!H$15),1.1,1))</f>
        <v>55</v>
      </c>
    </row>
    <row r="132" spans="1:30" ht="12.75">
      <c r="A132" s="51">
        <f t="shared" si="74"/>
        <v>106</v>
      </c>
      <c r="B132" s="50" t="s">
        <v>114</v>
      </c>
      <c r="C132" s="49">
        <v>19</v>
      </c>
      <c r="D132" s="48">
        <v>14</v>
      </c>
      <c r="E132" s="48"/>
      <c r="F132" s="48">
        <v>48</v>
      </c>
      <c r="G132" s="48">
        <v>14</v>
      </c>
      <c r="H132" s="48"/>
      <c r="I132" s="48"/>
      <c r="J132" s="49"/>
      <c r="K132" s="48"/>
      <c r="L132" s="48">
        <v>1</v>
      </c>
      <c r="M132" s="48"/>
      <c r="N132" s="49"/>
      <c r="O132" s="48"/>
      <c r="P132" s="48"/>
      <c r="Q132" s="48"/>
      <c r="R132" s="47">
        <f t="shared" si="66"/>
        <v>1</v>
      </c>
      <c r="S132" s="51" t="str">
        <f t="shared" si="75"/>
        <v>Y</v>
      </c>
      <c r="T132" s="52">
        <f t="shared" si="76"/>
        <v>0</v>
      </c>
      <c r="U132" s="51">
        <f t="shared" si="77"/>
        <v>14</v>
      </c>
      <c r="V132" s="51">
        <f t="shared" si="78"/>
        <v>0</v>
      </c>
      <c r="W132" s="92">
        <f>(ROUNDDOWN((Y132-T132)*X!B$8,2))+T132</f>
        <v>1.19</v>
      </c>
      <c r="X132" s="89">
        <f>(ROUNDDOWN((Z132-T132)*X!B$8,2))+T132</f>
        <v>1.66</v>
      </c>
      <c r="Y132" s="92">
        <f>(5*((0.001+X!H$3*SQRT(MP5!D$6+U132)*(MP5!D$5+V132))-(0.001+X!H$3*SQRT(MP5!D$6)*(MP5!D$5))))+T132</f>
        <v>3.9701710116578326</v>
      </c>
      <c r="Z132" s="89">
        <f>(5*((0.001+X!H$3*SQRT(MP5!E$6+(U132*IF(EXACT("Yes",MP5!H$15),1.1,1)))*(MP5!E$5+(V132*IF(EXACT("Yes",MP5!H$15),1.1,1))))-(0.001+X!H$3*SQRT(MP5!E$6)*(MP5!E$5))))+T132</f>
        <v>5.555248120604759</v>
      </c>
      <c r="AA132" s="81">
        <f t="shared" si="79"/>
        <v>2.02405130349735</v>
      </c>
      <c r="AB132" s="89">
        <f t="shared" si="80"/>
        <v>2.8285744361814276</v>
      </c>
      <c r="AC132" s="92">
        <f>F132+(J132*I$3)+(K132*I$4)+(L132*I$5)+(M132*I$6)+IF(EXACT("Y",S132),P132,0)+(IF(EXACT("Human",MP5!H$13),(((IF(EXACT("Y",S132),O132,0)+(J132*K$3)+(K132*K$4)+(L132*K$5)+(M132*K$6)+E132)*1.1)*IF(EXACT("Yes",MP5!H$8),1.05,1)*(0.05*C$5)),((IF(EXACT("Y",S132),O132,0)+(J132*K$3)+(K132*K$4)+(L132*K$5)+(M132*K$6)+E132)*IF(EXACT("Yes",MP5!H$8),1.05,1)*(0.05*C$5))))</f>
        <v>70</v>
      </c>
      <c r="AD132" s="89">
        <f>F132+(J132*I$3)+(K132*I$4)+(L132*I$5)+(M132*I$6)+IF(EXACT("Y",S132),P132,0)+((IF(EXACT("Human",MP5!H$13),(((IF(EXACT("Y",S132),O132,0)+(J132*K$3)+(K132*K$4)+(L132*K$5)+(M132*K$6)+E132)*1.1)*IF(EXACT("Yes",MP5!H$8),1.05,1)*(0.05*C$5)),((IF(EXACT("Y",S132),O132,0)+(J132*K$3)+(K132*K$4)+(L132*K$5)+(M132*K$6)+E132)*IF(EXACT("Yes",MP5!H$8),1.05,1)*(0.05*C$5))))*IF(EXACT("Yes",MP5!H$15),1.1,1))</f>
        <v>70</v>
      </c>
    </row>
    <row r="133" spans="1:30" ht="12.75">
      <c r="A133" s="51">
        <f t="shared" si="74"/>
        <v>97.2</v>
      </c>
      <c r="B133" s="53" t="s">
        <v>108</v>
      </c>
      <c r="C133" s="52">
        <v>18</v>
      </c>
      <c r="D133" s="51">
        <v>21</v>
      </c>
      <c r="E133" s="51">
        <v>19</v>
      </c>
      <c r="F133" s="48">
        <v>44</v>
      </c>
      <c r="G133" s="51"/>
      <c r="H133" s="51"/>
      <c r="I133" s="51"/>
      <c r="J133" s="52"/>
      <c r="K133" s="51"/>
      <c r="L133" s="51"/>
      <c r="M133" s="51"/>
      <c r="N133" s="52"/>
      <c r="O133" s="51"/>
      <c r="P133" s="51"/>
      <c r="Q133" s="51"/>
      <c r="R133" s="47">
        <f t="shared" si="66"/>
        <v>0</v>
      </c>
      <c r="S133" s="51" t="str">
        <f t="shared" si="75"/>
        <v>N</v>
      </c>
      <c r="T133" s="52">
        <f t="shared" si="76"/>
        <v>0</v>
      </c>
      <c r="U133" s="51">
        <f t="shared" si="77"/>
        <v>21</v>
      </c>
      <c r="V133" s="51">
        <f t="shared" si="78"/>
        <v>21.945000000000004</v>
      </c>
      <c r="W133" s="92">
        <f>(ROUNDDOWN((Y133-T133)*X!B$8,2))+T133</f>
        <v>8.61</v>
      </c>
      <c r="X133" s="89">
        <f>(ROUNDDOWN((Z133-T133)*X!B$8,2))+T133</f>
        <v>10.69</v>
      </c>
      <c r="Y133" s="92">
        <f>(5*((0.001+X!H$3*SQRT(MP5!D$6+U133)*(MP5!D$5+V133))-(0.001+X!H$3*SQRT(MP5!D$6)*(MP5!D$5))))+T133</f>
        <v>28.726255544249106</v>
      </c>
      <c r="Z133" s="89">
        <f>(5*((0.001+X!H$3*SQRT(MP5!E$6+(U133*IF(EXACT("Yes",MP5!H$15),1.1,1)))*(MP5!E$5+(V133*IF(EXACT("Yes",MP5!H$15),1.1,1))))-(0.001+X!H$3*SQRT(MP5!E$6)*(MP5!E$5))))+T133</f>
        <v>35.640298215707276</v>
      </c>
      <c r="AA133" s="81">
        <f t="shared" si="79"/>
        <v>14.644876663274733</v>
      </c>
      <c r="AB133" s="89">
        <f t="shared" si="80"/>
        <v>18.175089464712183</v>
      </c>
      <c r="AC133" s="92">
        <f>F133+(J133*I$3)+(K133*I$4)+(L133*I$5)+(M133*I$6)+IF(EXACT("Y",S133),P133,0)+(IF(EXACT("Human",MP5!H$13),(((IF(EXACT("Y",S133),O133,0)+(J133*K$3)+(K133*K$4)+(L133*K$5)+(M133*K$6)+E133)*1.1)*IF(EXACT("Yes",MP5!H$8),1.05,1)*(0.05*C$5)),((IF(EXACT("Y",S133),O133,0)+(J133*K$3)+(K133*K$4)+(L133*K$5)+(M133*K$6)+E133)*IF(EXACT("Yes",MP5!H$8),1.05,1)*(0.05*C$5))))</f>
        <v>48.75</v>
      </c>
      <c r="AD133" s="89">
        <f>F133+(J133*I$3)+(K133*I$4)+(L133*I$5)+(M133*I$6)+IF(EXACT("Y",S133),P133,0)+((IF(EXACT("Human",MP5!H$13),(((IF(EXACT("Y",S133),O133,0)+(J133*K$3)+(K133*K$4)+(L133*K$5)+(M133*K$6)+E133)*1.1)*IF(EXACT("Yes",MP5!H$8),1.05,1)*(0.05*C$5)),((IF(EXACT("Y",S133),O133,0)+(J133*K$3)+(K133*K$4)+(L133*K$5)+(M133*K$6)+E133)*IF(EXACT("Yes",MP5!H$8),1.05,1)*(0.05*C$5))))*IF(EXACT("Yes",MP5!H$15),1.1,1))</f>
        <v>49.225</v>
      </c>
    </row>
    <row r="134" spans="1:30" ht="12.75">
      <c r="A134" s="51">
        <f t="shared" si="74"/>
        <v>95</v>
      </c>
      <c r="B134" s="53" t="s">
        <v>106</v>
      </c>
      <c r="C134" s="52"/>
      <c r="D134" s="51">
        <v>24</v>
      </c>
      <c r="E134" s="51"/>
      <c r="F134" s="48">
        <v>55</v>
      </c>
      <c r="G134" s="51"/>
      <c r="H134" s="51">
        <v>10</v>
      </c>
      <c r="I134" s="51"/>
      <c r="J134" s="52"/>
      <c r="K134" s="51"/>
      <c r="L134" s="51"/>
      <c r="M134" s="51"/>
      <c r="N134" s="52"/>
      <c r="O134" s="51"/>
      <c r="P134" s="51"/>
      <c r="Q134" s="51"/>
      <c r="R134" s="47">
        <f t="shared" si="66"/>
        <v>0</v>
      </c>
      <c r="S134" s="51" t="str">
        <f t="shared" si="75"/>
        <v>N</v>
      </c>
      <c r="T134" s="52">
        <f t="shared" si="76"/>
        <v>10</v>
      </c>
      <c r="U134" s="51">
        <f t="shared" si="77"/>
        <v>24</v>
      </c>
      <c r="V134" s="51">
        <f t="shared" si="78"/>
        <v>0</v>
      </c>
      <c r="W134" s="92">
        <f>(ROUNDDOWN((Y134-T134)*X!B$8,2))+T134</f>
        <v>12.03</v>
      </c>
      <c r="X134" s="89">
        <f>(ROUNDDOWN((Z134-T134)*X!B$8,2))+T134</f>
        <v>12.84</v>
      </c>
      <c r="Y134" s="92">
        <f>(5*((0.001+X!H$3*SQRT(MP5!D$6+U134)*(MP5!D$5+V134))-(0.001+X!H$3*SQRT(MP5!D$6)*(MP5!D$5))))+T134</f>
        <v>16.771314356889384</v>
      </c>
      <c r="Z134" s="89">
        <f>(5*((0.001+X!H$3*SQRT(MP5!E$6+(U134*IF(EXACT("Yes",MP5!H$15),1.1,1)))*(MP5!E$5+(V134*IF(EXACT("Yes",MP5!H$15),1.1,1))))-(0.001+X!H$3*SQRT(MP5!E$6)*(MP5!E$5))))+T134</f>
        <v>19.478399309096872</v>
      </c>
      <c r="AA134" s="81">
        <f t="shared" si="79"/>
        <v>13.452394307066815</v>
      </c>
      <c r="AB134" s="89">
        <f t="shared" si="80"/>
        <v>14.831519792729061</v>
      </c>
      <c r="AC134" s="92">
        <f>F134+(J134*I$3)+(K134*I$4)+(L134*I$5)+(M134*I$6)+IF(EXACT("Y",S134),P134,0)+(IF(EXACT("Human",MP5!H$13),(((IF(EXACT("Y",S134),O134,0)+(J134*K$3)+(K134*K$4)+(L134*K$5)+(M134*K$6)+E134)*1.1)*IF(EXACT("Yes",MP5!H$8),1.05,1)*(0.05*C$5)),((IF(EXACT("Y",S134),O134,0)+(J134*K$3)+(K134*K$4)+(L134*K$5)+(M134*K$6)+E134)*IF(EXACT("Yes",MP5!H$8),1.05,1)*(0.05*C$5))))</f>
        <v>55</v>
      </c>
      <c r="AD134" s="89">
        <f>F134+(J134*I$3)+(K134*I$4)+(L134*I$5)+(M134*I$6)+IF(EXACT("Y",S134),P134,0)+((IF(EXACT("Human",MP5!H$13),(((IF(EXACT("Y",S134),O134,0)+(J134*K$3)+(K134*K$4)+(L134*K$5)+(M134*K$6)+E134)*1.1)*IF(EXACT("Yes",MP5!H$8),1.05,1)*(0.05*C$5)),((IF(EXACT("Y",S134),O134,0)+(J134*K$3)+(K134*K$4)+(L134*K$5)+(M134*K$6)+E134)*IF(EXACT("Yes",MP5!H$8),1.05,1)*(0.05*C$5))))*IF(EXACT("Yes",MP5!H$15),1.1,1))</f>
        <v>55</v>
      </c>
    </row>
    <row r="135" spans="1:30" ht="12.75">
      <c r="A135" s="51">
        <f t="shared" si="74"/>
        <v>0</v>
      </c>
      <c r="B135" s="50"/>
      <c r="C135" s="49"/>
      <c r="D135" s="48"/>
      <c r="E135" s="48"/>
      <c r="F135" s="48"/>
      <c r="G135" s="48"/>
      <c r="H135" s="48"/>
      <c r="I135" s="48"/>
      <c r="J135" s="49"/>
      <c r="K135" s="48"/>
      <c r="L135" s="48"/>
      <c r="M135" s="48"/>
      <c r="N135" s="49"/>
      <c r="O135" s="48"/>
      <c r="P135" s="48"/>
      <c r="Q135" s="48"/>
      <c r="R135" s="47">
        <f t="shared" si="66"/>
        <v>0</v>
      </c>
      <c r="S135" s="51" t="str">
        <f t="shared" si="75"/>
        <v>N</v>
      </c>
      <c r="T135" s="52">
        <f t="shared" si="76"/>
        <v>0</v>
      </c>
      <c r="U135" s="51">
        <f t="shared" si="77"/>
        <v>0</v>
      </c>
      <c r="V135" s="51">
        <f t="shared" si="78"/>
        <v>0</v>
      </c>
      <c r="W135" s="92">
        <f>(ROUNDDOWN((Y135-T135)*X!B$8,2))+T135</f>
        <v>0</v>
      </c>
      <c r="X135" s="89">
        <f>(ROUNDDOWN((Z135-T135)*X!B$8,2))+T135</f>
        <v>0</v>
      </c>
      <c r="Y135" s="92">
        <f>(5*((0.001+X!H$3*SQRT(MP5!D$6+U135)*(MP5!D$5+V135))-(0.001+X!H$3*SQRT(MP5!D$6)*(MP5!D$5))))+T135</f>
        <v>0</v>
      </c>
      <c r="Z135" s="89">
        <f>(5*((0.001+X!H$3*SQRT(MP5!E$6+(U135*IF(EXACT("Yes",MP5!H$15),1.1,1)))*(MP5!E$5+(V135*IF(EXACT("Yes",MP5!H$15),1.1,1))))-(0.001+X!H$3*SQRT(MP5!E$6)*(MP5!E$5))))+T135</f>
        <v>0</v>
      </c>
      <c r="AA135" s="81">
        <f t="shared" si="79"/>
        <v>0</v>
      </c>
      <c r="AB135" s="89">
        <f t="shared" si="80"/>
        <v>0</v>
      </c>
      <c r="AC135" s="92">
        <f>F135+(J135*I$3)+(K135*I$4)+(L135*I$5)+(M135*I$6)+IF(EXACT("Y",S135),P135,0)+(IF(EXACT("Human",MP5!H$13),(((IF(EXACT("Y",S135),O135,0)+(J135*K$3)+(K135*K$4)+(L135*K$5)+(M135*K$6)+E135)*1.1)*IF(EXACT("Yes",MP5!H$8),1.05,1)*(0.05*C$5)),((IF(EXACT("Y",S135),O135,0)+(J135*K$3)+(K135*K$4)+(L135*K$5)+(M135*K$6)+E135)*IF(EXACT("Yes",MP5!H$8),1.05,1)*(0.05*C$5))))</f>
        <v>0</v>
      </c>
      <c r="AD135" s="89">
        <f>F135+(J135*I$3)+(K135*I$4)+(L135*I$5)+(M135*I$6)+IF(EXACT("Y",S135),P135,0)+((IF(EXACT("Human",MP5!H$13),(((IF(EXACT("Y",S135),O135,0)+(J135*K$3)+(K135*K$4)+(L135*K$5)+(M135*K$6)+E135)*1.1)*IF(EXACT("Yes",MP5!H$8),1.05,1)*(0.05*C$5)),((IF(EXACT("Y",S135),O135,0)+(J135*K$3)+(K135*K$4)+(L135*K$5)+(M135*K$6)+E135)*IF(EXACT("Yes",MP5!H$8),1.05,1)*(0.05*C$5))))*IF(EXACT("Yes",MP5!H$15),1.1,1))</f>
        <v>0</v>
      </c>
    </row>
    <row r="136" spans="1:30" ht="12.75">
      <c r="A136" s="51">
        <f t="shared" si="74"/>
        <v>0</v>
      </c>
      <c r="B136" s="50"/>
      <c r="C136" s="49"/>
      <c r="D136" s="48"/>
      <c r="E136" s="48"/>
      <c r="F136" s="48"/>
      <c r="G136" s="48"/>
      <c r="H136" s="48"/>
      <c r="I136" s="48"/>
      <c r="J136" s="49"/>
      <c r="K136" s="48"/>
      <c r="L136" s="48"/>
      <c r="M136" s="48"/>
      <c r="N136" s="49"/>
      <c r="O136" s="48"/>
      <c r="P136" s="48"/>
      <c r="Q136" s="48"/>
      <c r="R136" s="47">
        <f t="shared" si="66"/>
        <v>0</v>
      </c>
      <c r="S136" s="51" t="str">
        <f t="shared" si="75"/>
        <v>N</v>
      </c>
      <c r="T136" s="52">
        <f t="shared" si="76"/>
        <v>0</v>
      </c>
      <c r="U136" s="51">
        <f t="shared" si="77"/>
        <v>0</v>
      </c>
      <c r="V136" s="51">
        <f t="shared" si="78"/>
        <v>0</v>
      </c>
      <c r="W136" s="92">
        <f>(ROUNDDOWN((Y136-T136)*X!B$8,2))+T136</f>
        <v>0</v>
      </c>
      <c r="X136" s="89">
        <f>(ROUNDDOWN((Z136-T136)*X!B$8,2))+T136</f>
        <v>0</v>
      </c>
      <c r="Y136" s="92">
        <f>(5*((0.001+X!H$3*SQRT(MP5!D$6+U136)*(MP5!D$5+V136))-(0.001+X!H$3*SQRT(MP5!D$6)*(MP5!D$5))))+T136</f>
        <v>0</v>
      </c>
      <c r="Z136" s="89">
        <f>(5*((0.001+X!H$3*SQRT(MP5!E$6+(U136*IF(EXACT("Yes",MP5!H$15),1.1,1)))*(MP5!E$5+(V136*IF(EXACT("Yes",MP5!H$15),1.1,1))))-(0.001+X!H$3*SQRT(MP5!E$6)*(MP5!E$5))))+T136</f>
        <v>0</v>
      </c>
      <c r="AA136" s="81">
        <f t="shared" si="79"/>
        <v>0</v>
      </c>
      <c r="AB136" s="89">
        <f t="shared" si="80"/>
        <v>0</v>
      </c>
      <c r="AC136" s="92">
        <f>F136+(J136*I$3)+(K136*I$4)+(L136*I$5)+(M136*I$6)+IF(EXACT("Y",S136),P136,0)+(IF(EXACT("Human",MP5!H$13),(((IF(EXACT("Y",S136),O136,0)+(J136*K$3)+(K136*K$4)+(L136*K$5)+(M136*K$6)+E136)*1.1)*IF(EXACT("Yes",MP5!H$8),1.05,1)*(0.05*C$5)),((IF(EXACT("Y",S136),O136,0)+(J136*K$3)+(K136*K$4)+(L136*K$5)+(M136*K$6)+E136)*IF(EXACT("Yes",MP5!H$8),1.05,1)*(0.05*C$5))))</f>
        <v>0</v>
      </c>
      <c r="AD136" s="89">
        <f>F136+(J136*I$3)+(K136*I$4)+(L136*I$5)+(M136*I$6)+IF(EXACT("Y",S136),P136,0)+((IF(EXACT("Human",MP5!H$13),(((IF(EXACT("Y",S136),O136,0)+(J136*K$3)+(K136*K$4)+(L136*K$5)+(M136*K$6)+E136)*1.1)*IF(EXACT("Yes",MP5!H$8),1.05,1)*(0.05*C$5)),((IF(EXACT("Y",S136),O136,0)+(J136*K$3)+(K136*K$4)+(L136*K$5)+(M136*K$6)+E136)*IF(EXACT("Yes",MP5!H$8),1.05,1)*(0.05*C$5))))*IF(EXACT("Yes",MP5!H$15),1.1,1))</f>
        <v>0</v>
      </c>
    </row>
    <row r="137" spans="1:30" ht="12.75">
      <c r="A137" s="59" t="s">
        <v>77</v>
      </c>
      <c r="B137" s="63" t="s">
        <v>105</v>
      </c>
      <c r="C137" s="62" t="s">
        <v>75</v>
      </c>
      <c r="D137" s="60" t="s">
        <v>68</v>
      </c>
      <c r="E137" s="60" t="s">
        <v>67</v>
      </c>
      <c r="F137" s="60" t="s">
        <v>66</v>
      </c>
      <c r="G137" s="60" t="s">
        <v>74</v>
      </c>
      <c r="H137" s="60" t="s">
        <v>65</v>
      </c>
      <c r="I137" s="60" t="s">
        <v>73</v>
      </c>
      <c r="J137" s="61" t="s">
        <v>72</v>
      </c>
      <c r="K137" s="59" t="s">
        <v>71</v>
      </c>
      <c r="L137" s="59" t="s">
        <v>70</v>
      </c>
      <c r="M137" s="59" t="s">
        <v>69</v>
      </c>
      <c r="N137" s="61" t="s">
        <v>68</v>
      </c>
      <c r="O137" s="59" t="s">
        <v>67</v>
      </c>
      <c r="P137" s="60" t="s">
        <v>66</v>
      </c>
      <c r="Q137" s="59" t="s">
        <v>65</v>
      </c>
      <c r="R137" s="47">
        <f t="shared" si="66"/>
        <v>3</v>
      </c>
      <c r="S137" s="59" t="s">
        <v>64</v>
      </c>
      <c r="T137" s="61" t="s">
        <v>65</v>
      </c>
      <c r="U137" s="59" t="s">
        <v>68</v>
      </c>
      <c r="V137" s="59" t="s">
        <v>67</v>
      </c>
      <c r="W137" s="90" t="s">
        <v>1</v>
      </c>
      <c r="X137" s="91" t="s">
        <v>2</v>
      </c>
      <c r="Y137" s="90" t="s">
        <v>1</v>
      </c>
      <c r="Z137" s="91" t="s">
        <v>2</v>
      </c>
      <c r="AA137" s="59" t="s">
        <v>1</v>
      </c>
      <c r="AB137" s="59" t="s">
        <v>2</v>
      </c>
      <c r="AC137" s="90" t="s">
        <v>1</v>
      </c>
      <c r="AD137" s="91" t="s">
        <v>2</v>
      </c>
    </row>
    <row r="138" spans="1:30" ht="12.75">
      <c r="A138" s="51">
        <f aca="true" t="shared" si="81" ref="A138:A143">C138*W$6+D138*Z$3+E138*Y$3+F138*X$3+H138*W$3+J138*X$6+K138*Z$6+L138*Y$6+G138*W$9+I138*AH156+M138*Z$9+(IF(S138="Y",((P138*X$3)+(Q138*W$3)+(O138*Y$3)+(N138*Z$3)),0))</f>
        <v>119</v>
      </c>
      <c r="B138" s="50" t="s">
        <v>104</v>
      </c>
      <c r="C138" s="49"/>
      <c r="D138" s="48"/>
      <c r="E138" s="48"/>
      <c r="F138" s="48">
        <v>119</v>
      </c>
      <c r="G138" s="48"/>
      <c r="H138" s="48"/>
      <c r="I138" s="48"/>
      <c r="J138" s="49"/>
      <c r="K138" s="48"/>
      <c r="L138" s="48"/>
      <c r="M138" s="48"/>
      <c r="N138" s="49"/>
      <c r="O138" s="48"/>
      <c r="P138" s="48"/>
      <c r="Q138" s="48"/>
      <c r="R138" s="47">
        <f t="shared" si="66"/>
        <v>0</v>
      </c>
      <c r="S138" s="51" t="str">
        <f aca="true" t="shared" si="82" ref="S138:S143">IF(R138&gt;0,"Y","N")</f>
        <v>N</v>
      </c>
      <c r="T138" s="52">
        <f aca="true" t="shared" si="83" ref="T138:T143">H138+(J138*H$3)+(K138*H$4)+(L138*H$5)+(M138*H$6)+IF(EXACT("Y",S138),Q138,0)</f>
        <v>0</v>
      </c>
      <c r="U138" s="51">
        <f aca="true" t="shared" si="84" ref="U138:U143">(D138+(J138*J$3)+(K138*J$4)+(L138*J$5)+(M138*J$6)+IF(EXACT("Y",S138),N138,0))*(1+C$6)</f>
        <v>0</v>
      </c>
      <c r="V138" s="51">
        <f aca="true" t="shared" si="85" ref="V138:V143">((((E138+(J138*K$3)+(K138*K$4)+(L138*K$5)+(M138*K$6)+IF(EXACT("Y",S138),O138,0))*IF(EXACT("Yes",C$3),1.1,1))*IF(EXACT("Yes",C$4),1.05,1)))*(1+C$6)</f>
        <v>0</v>
      </c>
      <c r="W138" s="92">
        <f>(ROUNDDOWN((Y138-T138)*X!B$8,2))+T138</f>
        <v>0</v>
      </c>
      <c r="X138" s="89">
        <f>(ROUNDDOWN((Z138-T138)*X!B$8,2))+T138</f>
        <v>0</v>
      </c>
      <c r="Y138" s="92">
        <f>(5*((0.001+X!H$3*SQRT(MP5!D$6+U138)*(MP5!D$5+V138))-(0.001+X!H$3*SQRT(MP5!D$6)*(MP5!D$5))))+T138</f>
        <v>0</v>
      </c>
      <c r="Z138" s="89">
        <f>(5*((0.001+X!H$3*SQRT(MP5!E$6+(U138*IF(EXACT("Yes",MP5!H$15),1.1,1)))*(MP5!E$5+(V138*IF(EXACT("Yes",MP5!H$15),1.1,1))))-(0.001+X!H$3*SQRT(MP5!E$6)*(MP5!E$5))))+T138</f>
        <v>0</v>
      </c>
      <c r="AA138" s="81">
        <f aca="true" t="shared" si="86" ref="AA138:AA143">((Y138-W138)*(1-C$7))+W138</f>
        <v>0</v>
      </c>
      <c r="AB138" s="89">
        <f aca="true" t="shared" si="87" ref="AB138:AB143">((Z138-X138)*(1-C$7))+X138</f>
        <v>0</v>
      </c>
      <c r="AC138" s="92">
        <f>F138+(J138*I$3)+(K138*I$4)+(L138*I$5)+(M138*I$6)+IF(EXACT("Y",S138),P138,0)+(IF(EXACT("Human",MP5!H$13),(((IF(EXACT("Y",S138),O138,0)+(J138*K$3)+(K138*K$4)+(L138*K$5)+(M138*K$6)+E138)*1.1)*IF(EXACT("Yes",MP5!H$8),1.05,1)*(0.05*C$5)),((IF(EXACT("Y",S138),O138,0)+(J138*K$3)+(K138*K$4)+(L138*K$5)+(M138*K$6)+E138)*IF(EXACT("Yes",MP5!H$8),1.05,1)*(0.05*C$5))))</f>
        <v>119</v>
      </c>
      <c r="AD138" s="89">
        <f>F138+(J138*I$3)+(K138*I$4)+(L138*I$5)+(M138*I$6)+IF(EXACT("Y",S138),P138,0)+((IF(EXACT("Human",MP5!H$13),(((IF(EXACT("Y",S138),O138,0)+(J138*K$3)+(K138*K$4)+(L138*K$5)+(M138*K$6)+E138)*1.1)*IF(EXACT("Yes",MP5!H$8),1.05,1)*(0.05*C$5)),((IF(EXACT("Y",S138),O138,0)+(J138*K$3)+(K138*K$4)+(L138*K$5)+(M138*K$6)+E138)*IF(EXACT("Yes",MP5!H$8),1.05,1)*(0.05*C$5))))*IF(EXACT("Yes",MP5!H$15),1.1,1))</f>
        <v>119</v>
      </c>
    </row>
    <row r="139" spans="1:30" ht="12.75">
      <c r="A139" s="51">
        <f t="shared" si="81"/>
        <v>118</v>
      </c>
      <c r="B139" s="53" t="s">
        <v>102</v>
      </c>
      <c r="C139" s="52"/>
      <c r="D139" s="51"/>
      <c r="E139" s="51"/>
      <c r="F139" s="51">
        <v>118</v>
      </c>
      <c r="G139" s="51"/>
      <c r="H139" s="51"/>
      <c r="I139" s="51"/>
      <c r="J139" s="52"/>
      <c r="K139" s="51"/>
      <c r="L139" s="51"/>
      <c r="M139" s="51"/>
      <c r="N139" s="52"/>
      <c r="O139" s="51"/>
      <c r="P139" s="51"/>
      <c r="Q139" s="51"/>
      <c r="R139" s="47">
        <f t="shared" si="66"/>
        <v>0</v>
      </c>
      <c r="S139" s="51" t="str">
        <f t="shared" si="82"/>
        <v>N</v>
      </c>
      <c r="T139" s="52">
        <f t="shared" si="83"/>
        <v>0</v>
      </c>
      <c r="U139" s="51">
        <f t="shared" si="84"/>
        <v>0</v>
      </c>
      <c r="V139" s="51">
        <f t="shared" si="85"/>
        <v>0</v>
      </c>
      <c r="W139" s="92">
        <f>(ROUNDDOWN((Y139-T139)*X!B$8,2))+T139</f>
        <v>0</v>
      </c>
      <c r="X139" s="89">
        <f>(ROUNDDOWN((Z139-T139)*X!B$8,2))+T139</f>
        <v>0</v>
      </c>
      <c r="Y139" s="92">
        <f>(5*((0.001+X!H$3*SQRT(MP5!D$6+U139)*(MP5!D$5+V139))-(0.001+X!H$3*SQRT(MP5!D$6)*(MP5!D$5))))+T139</f>
        <v>0</v>
      </c>
      <c r="Z139" s="89">
        <f>(5*((0.001+X!H$3*SQRT(MP5!E$6+(U139*IF(EXACT("Yes",MP5!H$15),1.1,1)))*(MP5!E$5+(V139*IF(EXACT("Yes",MP5!H$15),1.1,1))))-(0.001+X!H$3*SQRT(MP5!E$6)*(MP5!E$5))))+T139</f>
        <v>0</v>
      </c>
      <c r="AA139" s="81">
        <f t="shared" si="86"/>
        <v>0</v>
      </c>
      <c r="AB139" s="89">
        <f t="shared" si="87"/>
        <v>0</v>
      </c>
      <c r="AC139" s="92">
        <f>F139+(J139*I$3)+(K139*I$4)+(L139*I$5)+(M139*I$6)+IF(EXACT("Y",S139),P139,0)+(IF(EXACT("Human",MP5!H$13),(((IF(EXACT("Y",S139),O139,0)+(J139*K$3)+(K139*K$4)+(L139*K$5)+(M139*K$6)+E139)*1.1)*IF(EXACT("Yes",MP5!H$8),1.05,1)*(0.05*C$5)),((IF(EXACT("Y",S139),O139,0)+(J139*K$3)+(K139*K$4)+(L139*K$5)+(M139*K$6)+E139)*IF(EXACT("Yes",MP5!H$8),1.05,1)*(0.05*C$5))))</f>
        <v>118</v>
      </c>
      <c r="AD139" s="89">
        <f>F139+(J139*I$3)+(K139*I$4)+(L139*I$5)+(M139*I$6)+IF(EXACT("Y",S139),P139,0)+((IF(EXACT("Human",MP5!H$13),(((IF(EXACT("Y",S139),O139,0)+(J139*K$3)+(K139*K$4)+(L139*K$5)+(M139*K$6)+E139)*1.1)*IF(EXACT("Yes",MP5!H$8),1.05,1)*(0.05*C$5)),((IF(EXACT("Y",S139),O139,0)+(J139*K$3)+(K139*K$4)+(L139*K$5)+(M139*K$6)+E139)*IF(EXACT("Yes",MP5!H$8),1.05,1)*(0.05*C$5))))*IF(EXACT("Yes",MP5!H$15),1.1,1))</f>
        <v>118</v>
      </c>
    </row>
    <row r="140" spans="1:30" ht="12.75">
      <c r="A140" s="51">
        <f t="shared" si="81"/>
        <v>50.4</v>
      </c>
      <c r="B140" s="53" t="s">
        <v>101</v>
      </c>
      <c r="C140" s="52"/>
      <c r="D140" s="51"/>
      <c r="E140" s="51"/>
      <c r="F140" s="51"/>
      <c r="G140" s="51"/>
      <c r="H140" s="51">
        <v>18</v>
      </c>
      <c r="I140" s="51"/>
      <c r="J140" s="52"/>
      <c r="K140" s="51"/>
      <c r="L140" s="51"/>
      <c r="M140" s="51"/>
      <c r="N140" s="52"/>
      <c r="O140" s="51"/>
      <c r="P140" s="51"/>
      <c r="Q140" s="51"/>
      <c r="R140" s="47">
        <f aca="true" t="shared" si="88" ref="R140:R172">IF(AND(J140&gt;=1,L$3="Y",L$3="y"),1,0)+IF(AND(K140&gt;=1,L$4="Y",L$4="y"),1,0)+IF(AND(L140&gt;=1,L$5="Y",L$5="y"),1,0)+IF(AND(J140&gt;=1,L$3&lt;&gt;"Y",L$3&lt;&gt;"y"),-3,0)+IF(AND(K140&gt;=1,L$4&lt;&gt;"Y",L$4&lt;&gt;"y"),-3,0)+IF(AND(L140&gt;=1,L$5&lt;&gt;"Y",L$5&lt;&gt;"y"),-3,0)</f>
        <v>0</v>
      </c>
      <c r="S140" s="51" t="str">
        <f t="shared" si="82"/>
        <v>N</v>
      </c>
      <c r="T140" s="52">
        <f t="shared" si="83"/>
        <v>18</v>
      </c>
      <c r="U140" s="51">
        <f t="shared" si="84"/>
        <v>0</v>
      </c>
      <c r="V140" s="51">
        <f t="shared" si="85"/>
        <v>0</v>
      </c>
      <c r="W140" s="92">
        <f>(ROUNDDOWN((Y140-T140)*X!B$8,2))+T140</f>
        <v>18</v>
      </c>
      <c r="X140" s="89">
        <f>(ROUNDDOWN((Z140-T140)*X!B$8,2))+T140</f>
        <v>18</v>
      </c>
      <c r="Y140" s="92">
        <f>(5*((0.001+X!H$3*SQRT(MP5!D$6+U140)*(MP5!D$5+V140))-(0.001+X!H$3*SQRT(MP5!D$6)*(MP5!D$5))))+T140</f>
        <v>18</v>
      </c>
      <c r="Z140" s="89">
        <f>(5*((0.001+X!H$3*SQRT(MP5!E$6+(U140*IF(EXACT("Yes",MP5!H$15),1.1,1)))*(MP5!E$5+(V140*IF(EXACT("Yes",MP5!H$15),1.1,1))))-(0.001+X!H$3*SQRT(MP5!E$6)*(MP5!E$5))))+T140</f>
        <v>18</v>
      </c>
      <c r="AA140" s="81">
        <f t="shared" si="86"/>
        <v>18</v>
      </c>
      <c r="AB140" s="89">
        <f t="shared" si="87"/>
        <v>18</v>
      </c>
      <c r="AC140" s="92">
        <f>F140+(J140*I$3)+(K140*I$4)+(L140*I$5)+(M140*I$6)+IF(EXACT("Y",S140),P140,0)+(IF(EXACT("Human",MP5!H$13),(((IF(EXACT("Y",S140),O140,0)+(J140*K$3)+(K140*K$4)+(L140*K$5)+(M140*K$6)+E140)*1.1)*IF(EXACT("Yes",MP5!H$8),1.05,1)*(0.05*C$5)),((IF(EXACT("Y",S140),O140,0)+(J140*K$3)+(K140*K$4)+(L140*K$5)+(M140*K$6)+E140)*IF(EXACT("Yes",MP5!H$8),1.05,1)*(0.05*C$5))))</f>
        <v>0</v>
      </c>
      <c r="AD140" s="89">
        <f>F140+(J140*I$3)+(K140*I$4)+(L140*I$5)+(M140*I$6)+IF(EXACT("Y",S140),P140,0)+((IF(EXACT("Human",MP5!H$13),(((IF(EXACT("Y",S140),O140,0)+(J140*K$3)+(K140*K$4)+(L140*K$5)+(M140*K$6)+E140)*1.1)*IF(EXACT("Yes",MP5!H$8),1.05,1)*(0.05*C$5)),((IF(EXACT("Y",S140),O140,0)+(J140*K$3)+(K140*K$4)+(L140*K$5)+(M140*K$6)+E140)*IF(EXACT("Yes",MP5!H$8),1.05,1)*(0.05*C$5))))*IF(EXACT("Yes",MP5!H$15),1.1,1))</f>
        <v>0</v>
      </c>
    </row>
    <row r="141" spans="1:30" ht="12.75">
      <c r="A141" s="51">
        <f t="shared" si="81"/>
        <v>42</v>
      </c>
      <c r="B141" s="50" t="s">
        <v>103</v>
      </c>
      <c r="C141" s="49"/>
      <c r="D141" s="48"/>
      <c r="E141" s="48"/>
      <c r="F141" s="48"/>
      <c r="G141" s="48"/>
      <c r="H141" s="48">
        <v>15</v>
      </c>
      <c r="I141" s="48"/>
      <c r="J141" s="49"/>
      <c r="K141" s="48"/>
      <c r="L141" s="48"/>
      <c r="M141" s="48"/>
      <c r="N141" s="49"/>
      <c r="O141" s="48"/>
      <c r="P141" s="48"/>
      <c r="Q141" s="48"/>
      <c r="R141" s="47">
        <f t="shared" si="88"/>
        <v>0</v>
      </c>
      <c r="S141" s="51" t="str">
        <f t="shared" si="82"/>
        <v>N</v>
      </c>
      <c r="T141" s="52">
        <f t="shared" si="83"/>
        <v>15</v>
      </c>
      <c r="U141" s="51">
        <f t="shared" si="84"/>
        <v>0</v>
      </c>
      <c r="V141" s="51">
        <f t="shared" si="85"/>
        <v>0</v>
      </c>
      <c r="W141" s="92">
        <f>(ROUNDDOWN((Y141-T141)*X!B$8,2))+T141</f>
        <v>15</v>
      </c>
      <c r="X141" s="89">
        <f>(ROUNDDOWN((Z141-T141)*X!B$8,2))+T141</f>
        <v>15</v>
      </c>
      <c r="Y141" s="92">
        <f>(5*((0.001+X!H$3*SQRT(MP5!D$6+U141)*(MP5!D$5+V141))-(0.001+X!H$3*SQRT(MP5!D$6)*(MP5!D$5))))+T141</f>
        <v>15</v>
      </c>
      <c r="Z141" s="89">
        <f>(5*((0.001+X!H$3*SQRT(MP5!E$6+(U141*IF(EXACT("Yes",MP5!H$15),1.1,1)))*(MP5!E$5+(V141*IF(EXACT("Yes",MP5!H$15),1.1,1))))-(0.001+X!H$3*SQRT(MP5!E$6)*(MP5!E$5))))+T141</f>
        <v>15</v>
      </c>
      <c r="AA141" s="81">
        <f t="shared" si="86"/>
        <v>15</v>
      </c>
      <c r="AB141" s="89">
        <f t="shared" si="87"/>
        <v>15</v>
      </c>
      <c r="AC141" s="92">
        <f>F141+(J141*I$3)+(K141*I$4)+(L141*I$5)+(M141*I$6)+IF(EXACT("Y",S141),P141,0)+(IF(EXACT("Human",MP5!H$13),(((IF(EXACT("Y",S141),O141,0)+(J141*K$3)+(K141*K$4)+(L141*K$5)+(M141*K$6)+E141)*1.1)*IF(EXACT("Yes",MP5!H$8),1.05,1)*(0.05*C$5)),((IF(EXACT("Y",S141),O141,0)+(J141*K$3)+(K141*K$4)+(L141*K$5)+(M141*K$6)+E141)*IF(EXACT("Yes",MP5!H$8),1.05,1)*(0.05*C$5))))</f>
        <v>0</v>
      </c>
      <c r="AD141" s="89">
        <f>F141+(J141*I$3)+(K141*I$4)+(L141*I$5)+(M141*I$6)+IF(EXACT("Y",S141),P141,0)+((IF(EXACT("Human",MP5!H$13),(((IF(EXACT("Y",S141),O141,0)+(J141*K$3)+(K141*K$4)+(L141*K$5)+(M141*K$6)+E141)*1.1)*IF(EXACT("Yes",MP5!H$8),1.05,1)*(0.05*C$5)),((IF(EXACT("Y",S141),O141,0)+(J141*K$3)+(K141*K$4)+(L141*K$5)+(M141*K$6)+E141)*IF(EXACT("Yes",MP5!H$8),1.05,1)*(0.05*C$5))))*IF(EXACT("Yes",MP5!H$15),1.1,1))</f>
        <v>0</v>
      </c>
    </row>
    <row r="142" spans="1:30" ht="12.75">
      <c r="A142" s="51">
        <f t="shared" si="81"/>
        <v>0</v>
      </c>
      <c r="B142" s="50"/>
      <c r="C142" s="49"/>
      <c r="D142" s="48"/>
      <c r="E142" s="48"/>
      <c r="F142" s="48"/>
      <c r="G142" s="48"/>
      <c r="H142" s="48"/>
      <c r="I142" s="48"/>
      <c r="J142" s="49"/>
      <c r="K142" s="48"/>
      <c r="L142" s="48"/>
      <c r="M142" s="48"/>
      <c r="N142" s="49"/>
      <c r="O142" s="48"/>
      <c r="P142" s="48"/>
      <c r="Q142" s="48"/>
      <c r="R142" s="47">
        <f t="shared" si="88"/>
        <v>0</v>
      </c>
      <c r="S142" s="51" t="str">
        <f t="shared" si="82"/>
        <v>N</v>
      </c>
      <c r="T142" s="52">
        <f t="shared" si="83"/>
        <v>0</v>
      </c>
      <c r="U142" s="51">
        <f t="shared" si="84"/>
        <v>0</v>
      </c>
      <c r="V142" s="51">
        <f t="shared" si="85"/>
        <v>0</v>
      </c>
      <c r="W142" s="92">
        <f>(ROUNDDOWN((Y142-T142)*X!B$8,2))+T142</f>
        <v>0</v>
      </c>
      <c r="X142" s="89">
        <f>(ROUNDDOWN((Z142-T142)*X!B$8,2))+T142</f>
        <v>0</v>
      </c>
      <c r="Y142" s="92">
        <f>(5*((0.001+X!H$3*SQRT(MP5!D$6+U142)*(MP5!D$5+V142))-(0.001+X!H$3*SQRT(MP5!D$6)*(MP5!D$5))))+T142</f>
        <v>0</v>
      </c>
      <c r="Z142" s="89">
        <f>(5*((0.001+X!H$3*SQRT(MP5!E$6+(U142*IF(EXACT("Yes",MP5!H$15),1.1,1)))*(MP5!E$5+(V142*IF(EXACT("Yes",MP5!H$15),1.1,1))))-(0.001+X!H$3*SQRT(MP5!E$6)*(MP5!E$5))))+T142</f>
        <v>0</v>
      </c>
      <c r="AA142" s="81">
        <f t="shared" si="86"/>
        <v>0</v>
      </c>
      <c r="AB142" s="89">
        <f t="shared" si="87"/>
        <v>0</v>
      </c>
      <c r="AC142" s="92">
        <f>F142+(J142*I$3)+(K142*I$4)+(L142*I$5)+(M142*I$6)+IF(EXACT("Y",S142),P142,0)+(IF(EXACT("Human",MP5!H$13),(((IF(EXACT("Y",S142),O142,0)+(J142*K$3)+(K142*K$4)+(L142*K$5)+(M142*K$6)+E142)*1.1)*IF(EXACT("Yes",MP5!H$8),1.05,1)*(0.05*C$5)),((IF(EXACT("Y",S142),O142,0)+(J142*K$3)+(K142*K$4)+(L142*K$5)+(M142*K$6)+E142)*IF(EXACT("Yes",MP5!H$8),1.05,1)*(0.05*C$5))))</f>
        <v>0</v>
      </c>
      <c r="AD142" s="89">
        <f>F142+(J142*I$3)+(K142*I$4)+(L142*I$5)+(M142*I$6)+IF(EXACT("Y",S142),P142,0)+((IF(EXACT("Human",MP5!H$13),(((IF(EXACT("Y",S142),O142,0)+(J142*K$3)+(K142*K$4)+(L142*K$5)+(M142*K$6)+E142)*1.1)*IF(EXACT("Yes",MP5!H$8),1.05,1)*(0.05*C$5)),((IF(EXACT("Y",S142),O142,0)+(J142*K$3)+(K142*K$4)+(L142*K$5)+(M142*K$6)+E142)*IF(EXACT("Yes",MP5!H$8),1.05,1)*(0.05*C$5))))*IF(EXACT("Yes",MP5!H$15),1.1,1))</f>
        <v>0</v>
      </c>
    </row>
    <row r="143" spans="1:30" ht="12.75">
      <c r="A143" s="51">
        <f t="shared" si="81"/>
        <v>0</v>
      </c>
      <c r="B143" s="50"/>
      <c r="C143" s="49"/>
      <c r="D143" s="48"/>
      <c r="E143" s="48"/>
      <c r="F143" s="48"/>
      <c r="G143" s="48"/>
      <c r="H143" s="48"/>
      <c r="I143" s="48"/>
      <c r="J143" s="49"/>
      <c r="K143" s="48"/>
      <c r="L143" s="48"/>
      <c r="M143" s="48"/>
      <c r="N143" s="49"/>
      <c r="O143" s="48"/>
      <c r="P143" s="48"/>
      <c r="Q143" s="48"/>
      <c r="R143" s="47">
        <f t="shared" si="88"/>
        <v>0</v>
      </c>
      <c r="S143" s="51" t="str">
        <f t="shared" si="82"/>
        <v>N</v>
      </c>
      <c r="T143" s="52">
        <f t="shared" si="83"/>
        <v>0</v>
      </c>
      <c r="U143" s="51">
        <f t="shared" si="84"/>
        <v>0</v>
      </c>
      <c r="V143" s="51">
        <f t="shared" si="85"/>
        <v>0</v>
      </c>
      <c r="W143" s="92">
        <f>(ROUNDDOWN((Y143-T143)*X!B$8,2))+T143</f>
        <v>0</v>
      </c>
      <c r="X143" s="89">
        <f>(ROUNDDOWN((Z143-T143)*X!B$8,2))+T143</f>
        <v>0</v>
      </c>
      <c r="Y143" s="92">
        <f>(5*((0.001+X!H$3*SQRT(MP5!D$6+U143)*(MP5!D$5+V143))-(0.001+X!H$3*SQRT(MP5!D$6)*(MP5!D$5))))+T143</f>
        <v>0</v>
      </c>
      <c r="Z143" s="89">
        <f>(5*((0.001+X!H$3*SQRT(MP5!E$6+(U143*IF(EXACT("Yes",MP5!H$15),1.1,1)))*(MP5!E$5+(V143*IF(EXACT("Yes",MP5!H$15),1.1,1))))-(0.001+X!H$3*SQRT(MP5!E$6)*(MP5!E$5))))+T143</f>
        <v>0</v>
      </c>
      <c r="AA143" s="81">
        <f t="shared" si="86"/>
        <v>0</v>
      </c>
      <c r="AB143" s="89">
        <f t="shared" si="87"/>
        <v>0</v>
      </c>
      <c r="AC143" s="92">
        <f>F143+(J143*I$3)+(K143*I$4)+(L143*I$5)+(M143*I$6)+IF(EXACT("Y",S143),P143,0)+(IF(EXACT("Human",MP5!H$13),(((IF(EXACT("Y",S143),O143,0)+(J143*K$3)+(K143*K$4)+(L143*K$5)+(M143*K$6)+E143)*1.1)*IF(EXACT("Yes",MP5!H$8),1.05,1)*(0.05*C$5)),((IF(EXACT("Y",S143),O143,0)+(J143*K$3)+(K143*K$4)+(L143*K$5)+(M143*K$6)+E143)*IF(EXACT("Yes",MP5!H$8),1.05,1)*(0.05*C$5))))</f>
        <v>0</v>
      </c>
      <c r="AD143" s="89">
        <f>F143+(J143*I$3)+(K143*I$4)+(L143*I$5)+(M143*I$6)+IF(EXACT("Y",S143),P143,0)+((IF(EXACT("Human",MP5!H$13),(((IF(EXACT("Y",S143),O143,0)+(J143*K$3)+(K143*K$4)+(L143*K$5)+(M143*K$6)+E143)*1.1)*IF(EXACT("Yes",MP5!H$8),1.05,1)*(0.05*C$5)),((IF(EXACT("Y",S143),O143,0)+(J143*K$3)+(K143*K$4)+(L143*K$5)+(M143*K$6)+E143)*IF(EXACT("Yes",MP5!H$8),1.05,1)*(0.05*C$5))))*IF(EXACT("Yes",MP5!H$15),1.1,1))</f>
        <v>0</v>
      </c>
    </row>
    <row r="144" spans="1:30" ht="12.75">
      <c r="A144" s="59" t="s">
        <v>77</v>
      </c>
      <c r="B144" s="63" t="s">
        <v>100</v>
      </c>
      <c r="C144" s="62" t="s">
        <v>75</v>
      </c>
      <c r="D144" s="60" t="s">
        <v>68</v>
      </c>
      <c r="E144" s="60" t="s">
        <v>67</v>
      </c>
      <c r="F144" s="60" t="s">
        <v>66</v>
      </c>
      <c r="G144" s="60" t="s">
        <v>74</v>
      </c>
      <c r="H144" s="60" t="s">
        <v>65</v>
      </c>
      <c r="I144" s="60" t="s">
        <v>73</v>
      </c>
      <c r="J144" s="61" t="s">
        <v>72</v>
      </c>
      <c r="K144" s="59" t="s">
        <v>71</v>
      </c>
      <c r="L144" s="59" t="s">
        <v>70</v>
      </c>
      <c r="M144" s="59" t="s">
        <v>69</v>
      </c>
      <c r="N144" s="61" t="s">
        <v>68</v>
      </c>
      <c r="O144" s="59" t="s">
        <v>67</v>
      </c>
      <c r="P144" s="60" t="s">
        <v>66</v>
      </c>
      <c r="Q144" s="59" t="s">
        <v>65</v>
      </c>
      <c r="R144" s="47">
        <f t="shared" si="88"/>
        <v>3</v>
      </c>
      <c r="S144" s="59" t="s">
        <v>64</v>
      </c>
      <c r="T144" s="61" t="s">
        <v>65</v>
      </c>
      <c r="U144" s="59" t="s">
        <v>68</v>
      </c>
      <c r="V144" s="59" t="s">
        <v>67</v>
      </c>
      <c r="W144" s="90" t="s">
        <v>1</v>
      </c>
      <c r="X144" s="91" t="s">
        <v>2</v>
      </c>
      <c r="Y144" s="90" t="s">
        <v>1</v>
      </c>
      <c r="Z144" s="91" t="s">
        <v>2</v>
      </c>
      <c r="AA144" s="59" t="s">
        <v>1</v>
      </c>
      <c r="AB144" s="59" t="s">
        <v>2</v>
      </c>
      <c r="AC144" s="90" t="s">
        <v>1</v>
      </c>
      <c r="AD144" s="91" t="s">
        <v>2</v>
      </c>
    </row>
    <row r="145" spans="1:30" ht="12.75">
      <c r="A145" s="51">
        <f aca="true" t="shared" si="89" ref="A145:A154">C145*W$6+D145*Z$3+E145*Y$3+F145*X$3+H145*W$3+J145*X$6+K145*Z$6+L145*Y$6+G145*W$9+I145*AH163+M145*Z$9+(IF(S145="Y",((P145*X$3)+(Q145*W$3)+(O145*Y$3)+(N145*Z$3)),0))</f>
        <v>802.3000000000001</v>
      </c>
      <c r="B145" s="50" t="s">
        <v>99</v>
      </c>
      <c r="C145" s="49">
        <v>60</v>
      </c>
      <c r="D145" s="48">
        <v>54</v>
      </c>
      <c r="E145" s="48">
        <v>57</v>
      </c>
      <c r="F145" s="48">
        <v>550</v>
      </c>
      <c r="G145" s="48">
        <v>32</v>
      </c>
      <c r="H145" s="48"/>
      <c r="I145" s="48"/>
      <c r="J145" s="49">
        <v>2</v>
      </c>
      <c r="K145" s="48"/>
      <c r="L145" s="48">
        <v>1</v>
      </c>
      <c r="M145" s="48"/>
      <c r="N145" s="49"/>
      <c r="O145" s="48">
        <v>4</v>
      </c>
      <c r="P145" s="48"/>
      <c r="Q145" s="48"/>
      <c r="R145" s="47">
        <f t="shared" si="88"/>
        <v>2</v>
      </c>
      <c r="S145" s="51" t="str">
        <f aca="true" t="shared" si="90" ref="S145:S154">IF(R145&gt;0,"Y","N")</f>
        <v>Y</v>
      </c>
      <c r="T145" s="52">
        <f aca="true" t="shared" si="91" ref="T145:T154">H145+(J145*H$3)+(K145*H$4)+(L145*H$5)+(M145*H$6)+IF(EXACT("Y",S145),Q145,0)</f>
        <v>0</v>
      </c>
      <c r="U145" s="51">
        <f aca="true" t="shared" si="92" ref="U145:U154">(D145+(J145*J$3)+(K145*J$4)+(L145*J$5)+(M145*J$6)+IF(EXACT("Y",S145),N145,0))*(1+C$6)</f>
        <v>54</v>
      </c>
      <c r="V145" s="51">
        <f aca="true" t="shared" si="93" ref="V145:V154">((((E145+(J145*K$3)+(K145*K$4)+(L145*K$5)+(M145*K$6)+IF(EXACT("Y",S145),O145,0))*IF(EXACT("Yes",C$3),1.1,1))*IF(EXACT("Yes",C$4),1.05,1)))*(1+C$6)</f>
        <v>93.555</v>
      </c>
      <c r="W145" s="92">
        <f>(ROUNDDOWN((Y145-T145)*X!B$8,2))+T145</f>
        <v>34.6</v>
      </c>
      <c r="X145" s="89">
        <f>(ROUNDDOWN((Z145-T145)*X!B$8,2))+T145</f>
        <v>42.33</v>
      </c>
      <c r="Y145" s="92">
        <f>(5*((0.001+X!H$3*SQRT(MP5!D$6+U145)*(MP5!D$5+V145))-(0.001+X!H$3*SQRT(MP5!D$6)*(MP5!D$5))))+T145</f>
        <v>115.35796404525428</v>
      </c>
      <c r="Z145" s="89">
        <f>(5*((0.001+X!H$3*SQRT(MP5!E$6+(U145*IF(EXACT("Yes",MP5!H$15),1.1,1)))*(MP5!E$5+(V145*IF(EXACT("Yes",MP5!H$15),1.1,1))))-(0.001+X!H$3*SQRT(MP5!E$6)*(MP5!E$5))))+T145</f>
        <v>141.10152192135922</v>
      </c>
      <c r="AA145" s="81">
        <f aca="true" t="shared" si="94" ref="AA145:AA154">((Y145-W145)*(1-C$7))+W145</f>
        <v>58.82738921357629</v>
      </c>
      <c r="AB145" s="89">
        <f aca="true" t="shared" si="95" ref="AB145:AB154">((Z145-X145)*(1-C$7))+X145</f>
        <v>71.96145657640777</v>
      </c>
      <c r="AC145" s="92">
        <f>F145+(J145*I$3)+(K145*I$4)+(L145*I$5)+(M145*I$6)+IF(EXACT("Y",S145),P145,0)+(IF(EXACT("Human",MP5!H$13),(((IF(EXACT("Y",S145),O145,0)+(J145*K$3)+(K145*K$4)+(L145*K$5)+(M145*K$6)+E145)*1.1)*IF(EXACT("Yes",MP5!H$8),1.05,1)*(0.05*C$5)),((IF(EXACT("Y",S145),O145,0)+(J145*K$3)+(K145*K$4)+(L145*K$5)+(M145*K$6)+E145)*IF(EXACT("Yes",MP5!H$8),1.05,1)*(0.05*C$5))))</f>
        <v>592.25</v>
      </c>
      <c r="AD145" s="89">
        <f>F145+(J145*I$3)+(K145*I$4)+(L145*I$5)+(M145*I$6)+IF(EXACT("Y",S145),P145,0)+((IF(EXACT("Human",MP5!H$13),(((IF(EXACT("Y",S145),O145,0)+(J145*K$3)+(K145*K$4)+(L145*K$5)+(M145*K$6)+E145)*1.1)*IF(EXACT("Yes",MP5!H$8),1.05,1)*(0.05*C$5)),((IF(EXACT("Y",S145),O145,0)+(J145*K$3)+(K145*K$4)+(L145*K$5)+(M145*K$6)+E145)*IF(EXACT("Yes",MP5!H$8),1.05,1)*(0.05*C$5))))*IF(EXACT("Yes",MP5!H$15),1.1,1))</f>
        <v>594.275</v>
      </c>
    </row>
    <row r="146" spans="1:30" ht="12.75">
      <c r="A146" s="51">
        <f t="shared" si="89"/>
        <v>641.9</v>
      </c>
      <c r="B146" s="53" t="s">
        <v>96</v>
      </c>
      <c r="C146" s="52">
        <v>62</v>
      </c>
      <c r="D146" s="51">
        <v>59</v>
      </c>
      <c r="E146" s="51"/>
      <c r="F146" s="51">
        <v>486</v>
      </c>
      <c r="G146" s="51"/>
      <c r="H146" s="51">
        <v>23</v>
      </c>
      <c r="I146" s="51"/>
      <c r="J146" s="52"/>
      <c r="K146" s="51"/>
      <c r="L146" s="51"/>
      <c r="M146" s="51"/>
      <c r="N146" s="52"/>
      <c r="O146" s="51"/>
      <c r="P146" s="51"/>
      <c r="Q146" s="51"/>
      <c r="R146" s="47">
        <f t="shared" si="88"/>
        <v>0</v>
      </c>
      <c r="S146" s="51" t="str">
        <f t="shared" si="90"/>
        <v>N</v>
      </c>
      <c r="T146" s="52">
        <f t="shared" si="91"/>
        <v>23</v>
      </c>
      <c r="U146" s="51">
        <f t="shared" si="92"/>
        <v>59</v>
      </c>
      <c r="V146" s="51">
        <f t="shared" si="93"/>
        <v>0</v>
      </c>
      <c r="W146" s="92">
        <f>(ROUNDDOWN((Y146-T146)*X!B$8,2))+T146</f>
        <v>27.9</v>
      </c>
      <c r="X146" s="89">
        <f>(ROUNDDOWN((Z146-T146)*X!B$8,2))+T146</f>
        <v>29.87</v>
      </c>
      <c r="Y146" s="92">
        <f>(5*((0.001+X!H$3*SQRT(MP5!D$6+U146)*(MP5!D$5+V146))-(0.001+X!H$3*SQRT(MP5!D$6)*(MP5!D$5))))+T146</f>
        <v>39.36064901653423</v>
      </c>
      <c r="Z146" s="89">
        <f>(5*((0.001+X!H$3*SQRT(MP5!E$6+(U146*IF(EXACT("Yes",MP5!H$15),1.1,1)))*(MP5!E$5+(V146*IF(EXACT("Yes",MP5!H$15),1.1,1))))-(0.001+X!H$3*SQRT(MP5!E$6)*(MP5!E$5))))+T146</f>
        <v>45.93049900802011</v>
      </c>
      <c r="AA146" s="81">
        <f t="shared" si="94"/>
        <v>31.33819470496027</v>
      </c>
      <c r="AB146" s="89">
        <f t="shared" si="95"/>
        <v>34.68814970240604</v>
      </c>
      <c r="AC146" s="92">
        <f>F146+(J146*I$3)+(K146*I$4)+(L146*I$5)+(M146*I$6)+IF(EXACT("Y",S146),P146,0)+(IF(EXACT("Human",MP5!H$13),(((IF(EXACT("Y",S146),O146,0)+(J146*K$3)+(K146*K$4)+(L146*K$5)+(M146*K$6)+E146)*1.1)*IF(EXACT("Yes",MP5!H$8),1.05,1)*(0.05*C$5)),((IF(EXACT("Y",S146),O146,0)+(J146*K$3)+(K146*K$4)+(L146*K$5)+(M146*K$6)+E146)*IF(EXACT("Yes",MP5!H$8),1.05,1)*(0.05*C$5))))</f>
        <v>486</v>
      </c>
      <c r="AD146" s="89">
        <f>F146+(J146*I$3)+(K146*I$4)+(L146*I$5)+(M146*I$6)+IF(EXACT("Y",S146),P146,0)+((IF(EXACT("Human",MP5!H$13),(((IF(EXACT("Y",S146),O146,0)+(J146*K$3)+(K146*K$4)+(L146*K$5)+(M146*K$6)+E146)*1.1)*IF(EXACT("Yes",MP5!H$8),1.05,1)*(0.05*C$5)),((IF(EXACT("Y",S146),O146,0)+(J146*K$3)+(K146*K$4)+(L146*K$5)+(M146*K$6)+E146)*IF(EXACT("Yes",MP5!H$8),1.05,1)*(0.05*C$5))))*IF(EXACT("Yes",MP5!H$15),1.1,1))</f>
        <v>486</v>
      </c>
    </row>
    <row r="147" spans="1:30" ht="12.75">
      <c r="A147" s="51">
        <f t="shared" si="89"/>
        <v>626.2</v>
      </c>
      <c r="B147" s="53" t="s">
        <v>97</v>
      </c>
      <c r="C147" s="52">
        <v>73</v>
      </c>
      <c r="D147" s="51">
        <v>51</v>
      </c>
      <c r="E147" s="51">
        <v>35</v>
      </c>
      <c r="F147" s="51">
        <v>443</v>
      </c>
      <c r="G147" s="51"/>
      <c r="H147" s="51">
        <v>14</v>
      </c>
      <c r="I147" s="51"/>
      <c r="J147" s="52"/>
      <c r="K147" s="51"/>
      <c r="L147" s="51"/>
      <c r="M147" s="51"/>
      <c r="N147" s="52"/>
      <c r="O147" s="51"/>
      <c r="P147" s="51"/>
      <c r="Q147" s="51"/>
      <c r="R147" s="47">
        <f t="shared" si="88"/>
        <v>0</v>
      </c>
      <c r="S147" s="51" t="str">
        <f t="shared" si="90"/>
        <v>N</v>
      </c>
      <c r="T147" s="52">
        <f t="shared" si="91"/>
        <v>14</v>
      </c>
      <c r="U147" s="51">
        <f t="shared" si="92"/>
        <v>51</v>
      </c>
      <c r="V147" s="51">
        <f t="shared" si="93"/>
        <v>40.425000000000004</v>
      </c>
      <c r="W147" s="92">
        <f>(ROUNDDOWN((Y147-T147)*X!B$8,2))+T147</f>
        <v>31.23</v>
      </c>
      <c r="X147" s="89">
        <f>(ROUNDDOWN((Z147-T147)*X!B$8,2))+T147</f>
        <v>35.489999999999995</v>
      </c>
      <c r="Y147" s="92">
        <f>(5*((0.001+X!H$3*SQRT(MP5!D$6+U147)*(MP5!D$5+V147))-(0.001+X!H$3*SQRT(MP5!D$6)*(MP5!D$5))))+T147</f>
        <v>71.43412459468274</v>
      </c>
      <c r="Z147" s="89">
        <f>(5*((0.001+X!H$3*SQRT(MP5!E$6+(U147*IF(EXACT("Yes",MP5!H$15),1.1,1)))*(MP5!E$5+(V147*IF(EXACT("Yes",MP5!H$15),1.1,1))))-(0.001+X!H$3*SQRT(MP5!E$6)*(MP5!E$5))))+T147</f>
        <v>85.63663142114999</v>
      </c>
      <c r="AA147" s="81">
        <f t="shared" si="94"/>
        <v>43.29123737840482</v>
      </c>
      <c r="AB147" s="89">
        <f t="shared" si="95"/>
        <v>50.533989426344995</v>
      </c>
      <c r="AC147" s="92">
        <f>F147+(J147*I$3)+(K147*I$4)+(L147*I$5)+(M147*I$6)+IF(EXACT("Y",S147),P147,0)+(IF(EXACT("Human",MP5!H$13),(((IF(EXACT("Y",S147),O147,0)+(J147*K$3)+(K147*K$4)+(L147*K$5)+(M147*K$6)+E147)*1.1)*IF(EXACT("Yes",MP5!H$8),1.05,1)*(0.05*C$5)),((IF(EXACT("Y",S147),O147,0)+(J147*K$3)+(K147*K$4)+(L147*K$5)+(M147*K$6)+E147)*IF(EXACT("Yes",MP5!H$8),1.05,1)*(0.05*C$5))))</f>
        <v>451.75</v>
      </c>
      <c r="AD147" s="89">
        <f>F147+(J147*I$3)+(K147*I$4)+(L147*I$5)+(M147*I$6)+IF(EXACT("Y",S147),P147,0)+((IF(EXACT("Human",MP5!H$13),(((IF(EXACT("Y",S147),O147,0)+(J147*K$3)+(K147*K$4)+(L147*K$5)+(M147*K$6)+E147)*1.1)*IF(EXACT("Yes",MP5!H$8),1.05,1)*(0.05*C$5)),((IF(EXACT("Y",S147),O147,0)+(J147*K$3)+(K147*K$4)+(L147*K$5)+(M147*K$6)+E147)*IF(EXACT("Yes",MP5!H$8),1.05,1)*(0.05*C$5))))*IF(EXACT("Yes",MP5!H$15),1.1,1))</f>
        <v>452.625</v>
      </c>
    </row>
    <row r="148" spans="1:30" ht="12.75">
      <c r="A148" s="51">
        <f t="shared" si="89"/>
        <v>584.3</v>
      </c>
      <c r="B148" s="53" t="s">
        <v>95</v>
      </c>
      <c r="C148" s="52">
        <v>46</v>
      </c>
      <c r="D148" s="51">
        <v>47</v>
      </c>
      <c r="E148" s="51"/>
      <c r="F148" s="51">
        <v>407</v>
      </c>
      <c r="G148" s="51"/>
      <c r="H148" s="51">
        <v>16</v>
      </c>
      <c r="I148" s="51"/>
      <c r="J148" s="52">
        <v>1</v>
      </c>
      <c r="K148" s="51">
        <v>1</v>
      </c>
      <c r="L148" s="51">
        <v>1</v>
      </c>
      <c r="M148" s="51"/>
      <c r="N148" s="52"/>
      <c r="O148" s="51"/>
      <c r="P148" s="51">
        <v>9</v>
      </c>
      <c r="Q148" s="51"/>
      <c r="R148" s="47">
        <f t="shared" si="88"/>
        <v>3</v>
      </c>
      <c r="S148" s="51" t="str">
        <f t="shared" si="90"/>
        <v>Y</v>
      </c>
      <c r="T148" s="52">
        <f t="shared" si="91"/>
        <v>18</v>
      </c>
      <c r="U148" s="51">
        <f t="shared" si="92"/>
        <v>52</v>
      </c>
      <c r="V148" s="51">
        <f t="shared" si="93"/>
        <v>11.55</v>
      </c>
      <c r="W148" s="92">
        <f>(ROUNDDOWN((Y148-T148)*X!B$8,2))+T148</f>
        <v>26.05</v>
      </c>
      <c r="X148" s="89">
        <f>(ROUNDDOWN((Z148-T148)*X!B$8,2))+T148</f>
        <v>28.52</v>
      </c>
      <c r="Y148" s="92">
        <f>(5*((0.001+X!H$3*SQRT(MP5!D$6+U148)*(MP5!D$5+V148))-(0.001+X!H$3*SQRT(MP5!D$6)*(MP5!D$5))))+T148</f>
        <v>44.83366577820468</v>
      </c>
      <c r="Z148" s="89">
        <f>(5*((0.001+X!H$3*SQRT(MP5!E$6+(U148*IF(EXACT("Yes",MP5!H$15),1.1,1)))*(MP5!E$5+(V148*IF(EXACT("Yes",MP5!H$15),1.1,1))))-(0.001+X!H$3*SQRT(MP5!E$6)*(MP5!E$5))))+T148</f>
        <v>53.07064037938697</v>
      </c>
      <c r="AA148" s="81">
        <f t="shared" si="94"/>
        <v>31.685099733461406</v>
      </c>
      <c r="AB148" s="89">
        <f t="shared" si="95"/>
        <v>35.88519211381609</v>
      </c>
      <c r="AC148" s="92">
        <f>F148+(J148*I$3)+(K148*I$4)+(L148*I$5)+(M148*I$6)+IF(EXACT("Y",S148),P148,0)+(IF(EXACT("Human",MP5!H$13),(((IF(EXACT("Y",S148),O148,0)+(J148*K$3)+(K148*K$4)+(L148*K$5)+(M148*K$6)+E148)*1.1)*IF(EXACT("Yes",MP5!H$8),1.05,1)*(0.05*C$5)),((IF(EXACT("Y",S148),O148,0)+(J148*K$3)+(K148*K$4)+(L148*K$5)+(M148*K$6)+E148)*IF(EXACT("Yes",MP5!H$8),1.05,1)*(0.05*C$5))))</f>
        <v>440.5</v>
      </c>
      <c r="AD148" s="89">
        <f>F148+(J148*I$3)+(K148*I$4)+(L148*I$5)+(M148*I$6)+IF(EXACT("Y",S148),P148,0)+((IF(EXACT("Human",MP5!H$13),(((IF(EXACT("Y",S148),O148,0)+(J148*K$3)+(K148*K$4)+(L148*K$5)+(M148*K$6)+E148)*1.1)*IF(EXACT("Yes",MP5!H$8),1.05,1)*(0.05*C$5)),((IF(EXACT("Y",S148),O148,0)+(J148*K$3)+(K148*K$4)+(L148*K$5)+(M148*K$6)+E148)*IF(EXACT("Yes",MP5!H$8),1.05,1)*(0.05*C$5))))*IF(EXACT("Yes",MP5!H$15),1.1,1))</f>
        <v>440.75</v>
      </c>
    </row>
    <row r="149" spans="1:30" ht="12.75">
      <c r="A149" s="51">
        <f t="shared" si="89"/>
        <v>569.6</v>
      </c>
      <c r="B149" s="53" t="s">
        <v>94</v>
      </c>
      <c r="C149" s="52">
        <v>52</v>
      </c>
      <c r="D149" s="51">
        <v>44</v>
      </c>
      <c r="E149" s="51">
        <v>62</v>
      </c>
      <c r="F149" s="51">
        <v>415</v>
      </c>
      <c r="G149" s="51"/>
      <c r="H149" s="51"/>
      <c r="I149" s="51"/>
      <c r="J149" s="52"/>
      <c r="K149" s="51"/>
      <c r="L149" s="51"/>
      <c r="M149" s="51"/>
      <c r="N149" s="52"/>
      <c r="O149" s="51"/>
      <c r="P149" s="51"/>
      <c r="Q149" s="51"/>
      <c r="R149" s="47">
        <f t="shared" si="88"/>
        <v>0</v>
      </c>
      <c r="S149" s="51" t="str">
        <f t="shared" si="90"/>
        <v>N</v>
      </c>
      <c r="T149" s="52">
        <f t="shared" si="91"/>
        <v>0</v>
      </c>
      <c r="U149" s="51">
        <f t="shared" si="92"/>
        <v>44</v>
      </c>
      <c r="V149" s="51">
        <f t="shared" si="93"/>
        <v>71.61</v>
      </c>
      <c r="W149" s="92">
        <f>(ROUNDDOWN((Y149-T149)*X!B$8,2))+T149</f>
        <v>26.51</v>
      </c>
      <c r="X149" s="89">
        <f>(ROUNDDOWN((Z149-T149)*X!B$8,2))+T149</f>
        <v>32.49</v>
      </c>
      <c r="Y149" s="92">
        <f>(5*((0.001+X!H$3*SQRT(MP5!D$6+U149)*(MP5!D$5+V149))-(0.001+X!H$3*SQRT(MP5!D$6)*(MP5!D$5))))+T149</f>
        <v>88.3704259779784</v>
      </c>
      <c r="Z149" s="89">
        <f>(5*((0.001+X!H$3*SQRT(MP5!E$6+(U149*IF(EXACT("Yes",MP5!H$15),1.1,1)))*(MP5!E$5+(V149*IF(EXACT("Yes",MP5!H$15),1.1,1))))-(0.001+X!H$3*SQRT(MP5!E$6)*(MP5!E$5))))+T149</f>
        <v>108.30907879332884</v>
      </c>
      <c r="AA149" s="81">
        <f t="shared" si="94"/>
        <v>45.06812779339352</v>
      </c>
      <c r="AB149" s="89">
        <f t="shared" si="95"/>
        <v>55.23572363799865</v>
      </c>
      <c r="AC149" s="92">
        <f>F149+(J149*I$3)+(K149*I$4)+(L149*I$5)+(M149*I$6)+IF(EXACT("Y",S149),P149,0)+(IF(EXACT("Human",MP5!H$13),(((IF(EXACT("Y",S149),O149,0)+(J149*K$3)+(K149*K$4)+(L149*K$5)+(M149*K$6)+E149)*1.1)*IF(EXACT("Yes",MP5!H$8),1.05,1)*(0.05*C$5)),((IF(EXACT("Y",S149),O149,0)+(J149*K$3)+(K149*K$4)+(L149*K$5)+(M149*K$6)+E149)*IF(EXACT("Yes",MP5!H$8),1.05,1)*(0.05*C$5))))</f>
        <v>430.5</v>
      </c>
      <c r="AD149" s="89">
        <f>F149+(J149*I$3)+(K149*I$4)+(L149*I$5)+(M149*I$6)+IF(EXACT("Y",S149),P149,0)+((IF(EXACT("Human",MP5!H$13),(((IF(EXACT("Y",S149),O149,0)+(J149*K$3)+(K149*K$4)+(L149*K$5)+(M149*K$6)+E149)*1.1)*IF(EXACT("Yes",MP5!H$8),1.05,1)*(0.05*C$5)),((IF(EXACT("Y",S149),O149,0)+(J149*K$3)+(K149*K$4)+(L149*K$5)+(M149*K$6)+E149)*IF(EXACT("Yes",MP5!H$8),1.05,1)*(0.05*C$5))))*IF(EXACT("Yes",MP5!H$15),1.1,1))</f>
        <v>432.05</v>
      </c>
    </row>
    <row r="150" spans="1:30" ht="12.75">
      <c r="A150" s="51">
        <f t="shared" si="89"/>
        <v>512.5</v>
      </c>
      <c r="B150" s="50" t="s">
        <v>98</v>
      </c>
      <c r="C150" s="49">
        <v>36</v>
      </c>
      <c r="D150" s="48">
        <v>32</v>
      </c>
      <c r="E150" s="48">
        <v>41</v>
      </c>
      <c r="F150" s="48">
        <v>348</v>
      </c>
      <c r="G150" s="48"/>
      <c r="H150" s="48"/>
      <c r="I150" s="48"/>
      <c r="J150" s="49">
        <v>1</v>
      </c>
      <c r="K150" s="48">
        <v>1</v>
      </c>
      <c r="L150" s="48">
        <v>1</v>
      </c>
      <c r="M150" s="48"/>
      <c r="N150" s="49"/>
      <c r="O150" s="48">
        <v>4</v>
      </c>
      <c r="P150" s="48"/>
      <c r="Q150" s="48"/>
      <c r="R150" s="47">
        <f t="shared" si="88"/>
        <v>3</v>
      </c>
      <c r="S150" s="51" t="str">
        <f t="shared" si="90"/>
        <v>Y</v>
      </c>
      <c r="T150" s="52">
        <f t="shared" si="91"/>
        <v>2</v>
      </c>
      <c r="U150" s="51">
        <f t="shared" si="92"/>
        <v>37</v>
      </c>
      <c r="V150" s="51">
        <f t="shared" si="93"/>
        <v>63.52500000000001</v>
      </c>
      <c r="W150" s="92">
        <f>(ROUNDDOWN((Y150-T150)*X!B$8,2))+T150</f>
        <v>25.22</v>
      </c>
      <c r="X150" s="89">
        <f>(ROUNDDOWN((Z150-T150)*X!B$8,2))+T150</f>
        <v>30.44</v>
      </c>
      <c r="Y150" s="92">
        <f>(5*((0.001+X!H$3*SQRT(MP5!D$6+U150)*(MP5!D$5+V150))-(0.001+X!H$3*SQRT(MP5!D$6)*(MP5!D$5))))+T150</f>
        <v>79.40462906699875</v>
      </c>
      <c r="Z150" s="89">
        <f>(5*((0.001+X!H$3*SQRT(MP5!E$6+(U150*IF(EXACT("Yes",MP5!H$15),1.1,1)))*(MP5!E$5+(V150*IF(EXACT("Yes",MP5!H$15),1.1,1))))-(0.001+X!H$3*SQRT(MP5!E$6)*(MP5!E$5))))+T150</f>
        <v>96.82442483913623</v>
      </c>
      <c r="AA150" s="81">
        <f t="shared" si="94"/>
        <v>41.47538872009963</v>
      </c>
      <c r="AB150" s="89">
        <f t="shared" si="95"/>
        <v>50.35532745174088</v>
      </c>
      <c r="AC150" s="92">
        <f>F150+(J150*I$3)+(K150*I$4)+(L150*I$5)+(M150*I$6)+IF(EXACT("Y",S150),P150,0)+(IF(EXACT("Human",MP5!H$13),(((IF(EXACT("Y",S150),O150,0)+(J150*K$3)+(K150*K$4)+(L150*K$5)+(M150*K$6)+E150)*1.1)*IF(EXACT("Yes",MP5!H$8),1.05,1)*(0.05*C$5)),((IF(EXACT("Y",S150),O150,0)+(J150*K$3)+(K150*K$4)+(L150*K$5)+(M150*K$6)+E150)*IF(EXACT("Yes",MP5!H$8),1.05,1)*(0.05*C$5))))</f>
        <v>383.75</v>
      </c>
      <c r="AD150" s="89">
        <f>F150+(J150*I$3)+(K150*I$4)+(L150*I$5)+(M150*I$6)+IF(EXACT("Y",S150),P150,0)+((IF(EXACT("Human",MP5!H$13),(((IF(EXACT("Y",S150),O150,0)+(J150*K$3)+(K150*K$4)+(L150*K$5)+(M150*K$6)+E150)*1.1)*IF(EXACT("Yes",MP5!H$8),1.05,1)*(0.05*C$5)),((IF(EXACT("Y",S150),O150,0)+(J150*K$3)+(K150*K$4)+(L150*K$5)+(M150*K$6)+E150)*IF(EXACT("Yes",MP5!H$8),1.05,1)*(0.05*C$5))))*IF(EXACT("Yes",MP5!H$15),1.1,1))</f>
        <v>385.125</v>
      </c>
    </row>
    <row r="151" spans="1:30" ht="12.75">
      <c r="A151" s="51">
        <f t="shared" si="89"/>
        <v>502.8</v>
      </c>
      <c r="B151" s="53" t="s">
        <v>92</v>
      </c>
      <c r="C151" s="52">
        <v>51</v>
      </c>
      <c r="D151" s="51">
        <v>50</v>
      </c>
      <c r="E151" s="51"/>
      <c r="F151" s="51">
        <v>382</v>
      </c>
      <c r="G151" s="51"/>
      <c r="H151" s="51">
        <v>16</v>
      </c>
      <c r="I151" s="51"/>
      <c r="J151" s="52"/>
      <c r="K151" s="51"/>
      <c r="L151" s="51"/>
      <c r="M151" s="51"/>
      <c r="N151" s="52"/>
      <c r="O151" s="51"/>
      <c r="P151" s="51"/>
      <c r="Q151" s="51"/>
      <c r="R151" s="47">
        <f t="shared" si="88"/>
        <v>0</v>
      </c>
      <c r="S151" s="51" t="str">
        <f t="shared" si="90"/>
        <v>N</v>
      </c>
      <c r="T151" s="52">
        <f t="shared" si="91"/>
        <v>16</v>
      </c>
      <c r="U151" s="51">
        <f t="shared" si="92"/>
        <v>50</v>
      </c>
      <c r="V151" s="51">
        <f t="shared" si="93"/>
        <v>0</v>
      </c>
      <c r="W151" s="92">
        <f>(ROUNDDOWN((Y151-T151)*X!B$8,2))+T151</f>
        <v>20.17</v>
      </c>
      <c r="X151" s="89">
        <f>(ROUNDDOWN((Z151-T151)*X!B$8,2))+T151</f>
        <v>21.85</v>
      </c>
      <c r="Y151" s="92">
        <f>(5*((0.001+X!H$3*SQRT(MP5!D$6+U151)*(MP5!D$5+V151))-(0.001+X!H$3*SQRT(MP5!D$6)*(MP5!D$5))))+T151</f>
        <v>29.925605678498734</v>
      </c>
      <c r="Z151" s="89">
        <f>(5*((0.001+X!H$3*SQRT(MP5!E$6+(U151*IF(EXACT("Yes",MP5!H$15),1.1,1)))*(MP5!E$5+(V151*IF(EXACT("Yes",MP5!H$15),1.1,1))))-(0.001+X!H$3*SQRT(MP5!E$6)*(MP5!E$5))))+T151</f>
        <v>35.51149233187358</v>
      </c>
      <c r="AA151" s="81">
        <f t="shared" si="94"/>
        <v>23.09668170354962</v>
      </c>
      <c r="AB151" s="89">
        <f t="shared" si="95"/>
        <v>25.948447699562077</v>
      </c>
      <c r="AC151" s="92">
        <f>F151+(J151*I$3)+(K151*I$4)+(L151*I$5)+(M151*I$6)+IF(EXACT("Y",S151),P151,0)+(IF(EXACT("Human",MP5!H$13),(((IF(EXACT("Y",S151),O151,0)+(J151*K$3)+(K151*K$4)+(L151*K$5)+(M151*K$6)+E151)*1.1)*IF(EXACT("Yes",MP5!H$8),1.05,1)*(0.05*C$5)),((IF(EXACT("Y",S151),O151,0)+(J151*K$3)+(K151*K$4)+(L151*K$5)+(M151*K$6)+E151)*IF(EXACT("Yes",MP5!H$8),1.05,1)*(0.05*C$5))))</f>
        <v>382</v>
      </c>
      <c r="AD151" s="89">
        <f>F151+(J151*I$3)+(K151*I$4)+(L151*I$5)+(M151*I$6)+IF(EXACT("Y",S151),P151,0)+((IF(EXACT("Human",MP5!H$13),(((IF(EXACT("Y",S151),O151,0)+(J151*K$3)+(K151*K$4)+(L151*K$5)+(M151*K$6)+E151)*1.1)*IF(EXACT("Yes",MP5!H$8),1.05,1)*(0.05*C$5)),((IF(EXACT("Y",S151),O151,0)+(J151*K$3)+(K151*K$4)+(L151*K$5)+(M151*K$6)+E151)*IF(EXACT("Yes",MP5!H$8),1.05,1)*(0.05*C$5))))*IF(EXACT("Yes",MP5!H$15),1.1,1))</f>
        <v>382</v>
      </c>
    </row>
    <row r="152" spans="1:30" ht="12.75">
      <c r="A152" s="51">
        <f t="shared" si="89"/>
        <v>469.5</v>
      </c>
      <c r="B152" s="53" t="s">
        <v>93</v>
      </c>
      <c r="C152" s="52">
        <v>33</v>
      </c>
      <c r="D152" s="51">
        <v>34</v>
      </c>
      <c r="E152" s="51">
        <v>55</v>
      </c>
      <c r="F152" s="51">
        <v>348</v>
      </c>
      <c r="G152" s="51"/>
      <c r="H152" s="51"/>
      <c r="I152" s="51"/>
      <c r="J152" s="52"/>
      <c r="K152" s="51"/>
      <c r="L152" s="51"/>
      <c r="M152" s="51"/>
      <c r="N152" s="52"/>
      <c r="O152" s="51"/>
      <c r="P152" s="51"/>
      <c r="Q152" s="51"/>
      <c r="R152" s="47">
        <f t="shared" si="88"/>
        <v>0</v>
      </c>
      <c r="S152" s="51" t="str">
        <f t="shared" si="90"/>
        <v>N</v>
      </c>
      <c r="T152" s="52">
        <f t="shared" si="91"/>
        <v>0</v>
      </c>
      <c r="U152" s="51">
        <f t="shared" si="92"/>
        <v>34</v>
      </c>
      <c r="V152" s="51">
        <f t="shared" si="93"/>
        <v>63.52500000000001</v>
      </c>
      <c r="W152" s="92">
        <f>(ROUNDDOWN((Y152-T152)*X!B$8,2))+T152</f>
        <v>22.91</v>
      </c>
      <c r="X152" s="89">
        <f>(ROUNDDOWN((Z152-T152)*X!B$8,2))+T152</f>
        <v>28.03</v>
      </c>
      <c r="Y152" s="92">
        <f>(5*((0.001+X!H$3*SQRT(MP5!D$6+U152)*(MP5!D$5+V152))-(0.001+X!H$3*SQRT(MP5!D$6)*(MP5!D$5))))+T152</f>
        <v>76.3813121599074</v>
      </c>
      <c r="Z152" s="89">
        <f>(5*((0.001+X!H$3*SQRT(MP5!E$6+(U152*IF(EXACT("Yes",MP5!H$15),1.1,1)))*(MP5!E$5+(V152*IF(EXACT("Yes",MP5!H$15),1.1,1))))-(0.001+X!H$3*SQRT(MP5!E$6)*(MP5!E$5))))+T152</f>
        <v>93.44675979719533</v>
      </c>
      <c r="AA152" s="81">
        <f t="shared" si="94"/>
        <v>38.951393647972225</v>
      </c>
      <c r="AB152" s="89">
        <f t="shared" si="95"/>
        <v>47.6550279391586</v>
      </c>
      <c r="AC152" s="92">
        <f>F152+(J152*I$3)+(K152*I$4)+(L152*I$5)+(M152*I$6)+IF(EXACT("Y",S152),P152,0)+(IF(EXACT("Human",MP5!H$13),(((IF(EXACT("Y",S152),O152,0)+(J152*K$3)+(K152*K$4)+(L152*K$5)+(M152*K$6)+E152)*1.1)*IF(EXACT("Yes",MP5!H$8),1.05,1)*(0.05*C$5)),((IF(EXACT("Y",S152),O152,0)+(J152*K$3)+(K152*K$4)+(L152*K$5)+(M152*K$6)+E152)*IF(EXACT("Yes",MP5!H$8),1.05,1)*(0.05*C$5))))</f>
        <v>361.75</v>
      </c>
      <c r="AD152" s="89">
        <f>F152+(J152*I$3)+(K152*I$4)+(L152*I$5)+(M152*I$6)+IF(EXACT("Y",S152),P152,0)+((IF(EXACT("Human",MP5!H$13),(((IF(EXACT("Y",S152),O152,0)+(J152*K$3)+(K152*K$4)+(L152*K$5)+(M152*K$6)+E152)*1.1)*IF(EXACT("Yes",MP5!H$8),1.05,1)*(0.05*C$5)),((IF(EXACT("Y",S152),O152,0)+(J152*K$3)+(K152*K$4)+(L152*K$5)+(M152*K$6)+E152)*IF(EXACT("Yes",MP5!H$8),1.05,1)*(0.05*C$5))))*IF(EXACT("Yes",MP5!H$15),1.1,1))</f>
        <v>363.125</v>
      </c>
    </row>
    <row r="153" spans="1:30" ht="12.75">
      <c r="A153" s="51">
        <f t="shared" si="89"/>
        <v>0</v>
      </c>
      <c r="B153" s="50"/>
      <c r="C153" s="49"/>
      <c r="D153" s="48"/>
      <c r="E153" s="48"/>
      <c r="F153" s="48"/>
      <c r="G153" s="48"/>
      <c r="H153" s="48"/>
      <c r="I153" s="48"/>
      <c r="J153" s="49"/>
      <c r="K153" s="48"/>
      <c r="L153" s="48"/>
      <c r="M153" s="48"/>
      <c r="N153" s="49"/>
      <c r="O153" s="48"/>
      <c r="P153" s="48"/>
      <c r="Q153" s="48"/>
      <c r="R153" s="47">
        <f t="shared" si="88"/>
        <v>0</v>
      </c>
      <c r="S153" s="51" t="str">
        <f t="shared" si="90"/>
        <v>N</v>
      </c>
      <c r="T153" s="52">
        <f t="shared" si="91"/>
        <v>0</v>
      </c>
      <c r="U153" s="51">
        <f t="shared" si="92"/>
        <v>0</v>
      </c>
      <c r="V153" s="51">
        <f t="shared" si="93"/>
        <v>0</v>
      </c>
      <c r="W153" s="92">
        <f>(ROUNDDOWN((Y153-T153)*X!B$8,2))+T153</f>
        <v>0</v>
      </c>
      <c r="X153" s="89">
        <f>(ROUNDDOWN((Z153-T153)*X!B$8,2))+T153</f>
        <v>0</v>
      </c>
      <c r="Y153" s="92">
        <f>(5*((0.001+X!H$3*SQRT(MP5!D$6+U153)*(MP5!D$5+V153))-(0.001+X!H$3*SQRT(MP5!D$6)*(MP5!D$5))))+T153</f>
        <v>0</v>
      </c>
      <c r="Z153" s="89">
        <f>(5*((0.001+X!H$3*SQRT(MP5!E$6+(U153*IF(EXACT("Yes",MP5!H$15),1.1,1)))*(MP5!E$5+(V153*IF(EXACT("Yes",MP5!H$15),1.1,1))))-(0.001+X!H$3*SQRT(MP5!E$6)*(MP5!E$5))))+T153</f>
        <v>0</v>
      </c>
      <c r="AA153" s="81">
        <f t="shared" si="94"/>
        <v>0</v>
      </c>
      <c r="AB153" s="89">
        <f t="shared" si="95"/>
        <v>0</v>
      </c>
      <c r="AC153" s="92">
        <f>F153+(J153*I$3)+(K153*I$4)+(L153*I$5)+(M153*I$6)+IF(EXACT("Y",S153),P153,0)+(IF(EXACT("Human",MP5!H$13),(((IF(EXACT("Y",S153),O153,0)+(J153*K$3)+(K153*K$4)+(L153*K$5)+(M153*K$6)+E153)*1.1)*IF(EXACT("Yes",MP5!H$8),1.05,1)*(0.05*C$5)),((IF(EXACT("Y",S153),O153,0)+(J153*K$3)+(K153*K$4)+(L153*K$5)+(M153*K$6)+E153)*IF(EXACT("Yes",MP5!H$8),1.05,1)*(0.05*C$5))))</f>
        <v>0</v>
      </c>
      <c r="AD153" s="89">
        <f>F153+(J153*I$3)+(K153*I$4)+(L153*I$5)+(M153*I$6)+IF(EXACT("Y",S153),P153,0)+((IF(EXACT("Human",MP5!H$13),(((IF(EXACT("Y",S153),O153,0)+(J153*K$3)+(K153*K$4)+(L153*K$5)+(M153*K$6)+E153)*1.1)*IF(EXACT("Yes",MP5!H$8),1.05,1)*(0.05*C$5)),((IF(EXACT("Y",S153),O153,0)+(J153*K$3)+(K153*K$4)+(L153*K$5)+(M153*K$6)+E153)*IF(EXACT("Yes",MP5!H$8),1.05,1)*(0.05*C$5))))*IF(EXACT("Yes",MP5!H$15),1.1,1))</f>
        <v>0</v>
      </c>
    </row>
    <row r="154" spans="1:30" ht="12.75">
      <c r="A154" s="51">
        <f t="shared" si="89"/>
        <v>0</v>
      </c>
      <c r="B154" s="50"/>
      <c r="C154" s="49"/>
      <c r="D154" s="48"/>
      <c r="E154" s="48"/>
      <c r="F154" s="48"/>
      <c r="G154" s="48"/>
      <c r="H154" s="48"/>
      <c r="I154" s="48"/>
      <c r="J154" s="49"/>
      <c r="K154" s="48"/>
      <c r="L154" s="48"/>
      <c r="M154" s="48"/>
      <c r="N154" s="49"/>
      <c r="O154" s="48"/>
      <c r="P154" s="48"/>
      <c r="Q154" s="48"/>
      <c r="R154" s="47">
        <f t="shared" si="88"/>
        <v>0</v>
      </c>
      <c r="S154" s="51" t="str">
        <f t="shared" si="90"/>
        <v>N</v>
      </c>
      <c r="T154" s="52">
        <f t="shared" si="91"/>
        <v>0</v>
      </c>
      <c r="U154" s="51">
        <f t="shared" si="92"/>
        <v>0</v>
      </c>
      <c r="V154" s="51">
        <f t="shared" si="93"/>
        <v>0</v>
      </c>
      <c r="W154" s="92">
        <f>(ROUNDDOWN((Y154-T154)*X!B$8,2))+T154</f>
        <v>0</v>
      </c>
      <c r="X154" s="89">
        <f>(ROUNDDOWN((Z154-T154)*X!B$8,2))+T154</f>
        <v>0</v>
      </c>
      <c r="Y154" s="92">
        <f>(5*((0.001+X!H$3*SQRT(MP5!D$6+U154)*(MP5!D$5+V154))-(0.001+X!H$3*SQRT(MP5!D$6)*(MP5!D$5))))+T154</f>
        <v>0</v>
      </c>
      <c r="Z154" s="89">
        <f>(5*((0.001+X!H$3*SQRT(MP5!E$6+(U154*IF(EXACT("Yes",MP5!H$15),1.1,1)))*(MP5!E$5+(V154*IF(EXACT("Yes",MP5!H$15),1.1,1))))-(0.001+X!H$3*SQRT(MP5!E$6)*(MP5!E$5))))+T154</f>
        <v>0</v>
      </c>
      <c r="AA154" s="81">
        <f t="shared" si="94"/>
        <v>0</v>
      </c>
      <c r="AB154" s="89">
        <f t="shared" si="95"/>
        <v>0</v>
      </c>
      <c r="AC154" s="92">
        <f>F154+(J154*I$3)+(K154*I$4)+(L154*I$5)+(M154*I$6)+IF(EXACT("Y",S154),P154,0)+(IF(EXACT("Human",MP5!H$13),(((IF(EXACT("Y",S154),O154,0)+(J154*K$3)+(K154*K$4)+(L154*K$5)+(M154*K$6)+E154)*1.1)*IF(EXACT("Yes",MP5!H$8),1.05,1)*(0.05*C$5)),((IF(EXACT("Y",S154),O154,0)+(J154*K$3)+(K154*K$4)+(L154*K$5)+(M154*K$6)+E154)*IF(EXACT("Yes",MP5!H$8),1.05,1)*(0.05*C$5))))</f>
        <v>0</v>
      </c>
      <c r="AD154" s="89">
        <f>F154+(J154*I$3)+(K154*I$4)+(L154*I$5)+(M154*I$6)+IF(EXACT("Y",S154),P154,0)+((IF(EXACT("Human",MP5!H$13),(((IF(EXACT("Y",S154),O154,0)+(J154*K$3)+(K154*K$4)+(L154*K$5)+(M154*K$6)+E154)*1.1)*IF(EXACT("Yes",MP5!H$8),1.05,1)*(0.05*C$5)),((IF(EXACT("Y",S154),O154,0)+(J154*K$3)+(K154*K$4)+(L154*K$5)+(M154*K$6)+E154)*IF(EXACT("Yes",MP5!H$8),1.05,1)*(0.05*C$5))))*IF(EXACT("Yes",MP5!H$15),1.1,1))</f>
        <v>0</v>
      </c>
    </row>
    <row r="155" spans="1:30" ht="12.75">
      <c r="A155" s="59" t="s">
        <v>77</v>
      </c>
      <c r="B155" s="63" t="s">
        <v>91</v>
      </c>
      <c r="C155" s="62" t="s">
        <v>75</v>
      </c>
      <c r="D155" s="60" t="s">
        <v>68</v>
      </c>
      <c r="E155" s="60" t="s">
        <v>67</v>
      </c>
      <c r="F155" s="60" t="s">
        <v>66</v>
      </c>
      <c r="G155" s="60" t="s">
        <v>74</v>
      </c>
      <c r="H155" s="60" t="s">
        <v>65</v>
      </c>
      <c r="I155" s="60" t="s">
        <v>73</v>
      </c>
      <c r="J155" s="61" t="s">
        <v>72</v>
      </c>
      <c r="K155" s="59" t="s">
        <v>71</v>
      </c>
      <c r="L155" s="59" t="s">
        <v>70</v>
      </c>
      <c r="M155" s="59" t="s">
        <v>69</v>
      </c>
      <c r="N155" s="61" t="s">
        <v>68</v>
      </c>
      <c r="O155" s="59" t="s">
        <v>67</v>
      </c>
      <c r="P155" s="60" t="s">
        <v>66</v>
      </c>
      <c r="Q155" s="59" t="s">
        <v>65</v>
      </c>
      <c r="R155" s="47">
        <f t="shared" si="88"/>
        <v>3</v>
      </c>
      <c r="S155" s="59" t="s">
        <v>64</v>
      </c>
      <c r="T155" s="61" t="s">
        <v>65</v>
      </c>
      <c r="U155" s="59" t="s">
        <v>68</v>
      </c>
      <c r="V155" s="59" t="s">
        <v>67</v>
      </c>
      <c r="W155" s="90" t="s">
        <v>1</v>
      </c>
      <c r="X155" s="91" t="s">
        <v>2</v>
      </c>
      <c r="Y155" s="90" t="s">
        <v>1</v>
      </c>
      <c r="Z155" s="91" t="s">
        <v>2</v>
      </c>
      <c r="AA155" s="59" t="s">
        <v>1</v>
      </c>
      <c r="AB155" s="59" t="s">
        <v>2</v>
      </c>
      <c r="AC155" s="90" t="s">
        <v>1</v>
      </c>
      <c r="AD155" s="91" t="s">
        <v>2</v>
      </c>
    </row>
    <row r="156" spans="1:30" ht="12.75">
      <c r="A156" s="51">
        <f aca="true" t="shared" si="96" ref="A156:A164">C156*W$6+D156*Z$3+E156*Y$3+F156*X$3+H156*W$3+J156*X$6+K156*Z$6+L156*Y$6+G156*W$9+I156*AH174+M156*Z$9+(IF(S156="Y",((P156*X$3)+(Q156*W$3)+(O156*Y$3)+(N156*Z$3)),0))</f>
        <v>585.3</v>
      </c>
      <c r="B156" s="50" t="s">
        <v>89</v>
      </c>
      <c r="C156" s="49">
        <v>24</v>
      </c>
      <c r="D156" s="48">
        <v>25</v>
      </c>
      <c r="E156" s="48"/>
      <c r="F156" s="48">
        <v>500</v>
      </c>
      <c r="G156" s="48"/>
      <c r="H156" s="48">
        <v>10</v>
      </c>
      <c r="I156" s="48"/>
      <c r="J156" s="49"/>
      <c r="K156" s="48"/>
      <c r="L156" s="48">
        <v>1</v>
      </c>
      <c r="M156" s="48"/>
      <c r="N156" s="49"/>
      <c r="O156" s="48"/>
      <c r="P156" s="48"/>
      <c r="Q156" s="48">
        <v>1</v>
      </c>
      <c r="R156" s="47">
        <f t="shared" si="88"/>
        <v>1</v>
      </c>
      <c r="S156" s="51" t="str">
        <f aca="true" t="shared" si="97" ref="S156:S164">IF(R156&gt;0,"Y","N")</f>
        <v>Y</v>
      </c>
      <c r="T156" s="52">
        <f aca="true" t="shared" si="98" ref="T156:T164">H156+(J156*H$3)+(K156*H$4)+(L156*H$5)+(M156*H$6)+IF(EXACT("Y",S156),Q156,0)</f>
        <v>11</v>
      </c>
      <c r="U156" s="51">
        <f aca="true" t="shared" si="99" ref="U156:U164">(D156+(J156*J$3)+(K156*J$4)+(L156*J$5)+(M156*J$6)+IF(EXACT("Y",S156),N156,0))*(1+C$6)</f>
        <v>25</v>
      </c>
      <c r="V156" s="51">
        <f aca="true" t="shared" si="100" ref="V156:V164">((((E156+(J156*K$3)+(K156*K$4)+(L156*K$5)+(M156*K$6)+IF(EXACT("Y",S156),O156,0))*IF(EXACT("Yes",C$3),1.1,1))*IF(EXACT("Yes",C$4),1.05,1)))*(1+C$6)</f>
        <v>0</v>
      </c>
      <c r="W156" s="92">
        <f>(ROUNDDOWN((Y156-T156)*X!B$8,2))+T156</f>
        <v>13.11</v>
      </c>
      <c r="X156" s="89">
        <f>(ROUNDDOWN((Z156-T156)*X!B$8,2))+T156</f>
        <v>13.96</v>
      </c>
      <c r="Y156" s="92">
        <f>(5*((0.001+X!H$3*SQRT(MP5!D$6+U156)*(MP5!D$5+V156))-(0.001+X!H$3*SQRT(MP5!D$6)*(MP5!D$5))))+T156</f>
        <v>18.049878719230378</v>
      </c>
      <c r="Z156" s="89">
        <f>(5*((0.001+X!H$3*SQRT(MP5!E$6+(U156*IF(EXACT("Yes",MP5!H$15),1.1,1)))*(MP5!E$5+(V156*IF(EXACT("Yes",MP5!H$15),1.1,1))))-(0.001+X!H$3*SQRT(MP5!E$6)*(MP5!E$5))))+T156</f>
        <v>20.868705316839055</v>
      </c>
      <c r="AA156" s="81">
        <f aca="true" t="shared" si="101" ref="AA156:AA164">((Y156-W156)*(1-C$7))+W156</f>
        <v>14.591963615769114</v>
      </c>
      <c r="AB156" s="89">
        <f aca="true" t="shared" si="102" ref="AB156:AB164">((Z156-X156)*(1-C$7))+X156</f>
        <v>16.03261159505172</v>
      </c>
      <c r="AC156" s="92">
        <f>F156+(J156*I$3)+(K156*I$4)+(L156*I$5)+(M156*I$6)+IF(EXACT("Y",S156),P156,0)+(IF(EXACT("Human",MP5!H$13),(((IF(EXACT("Y",S156),O156,0)+(J156*K$3)+(K156*K$4)+(L156*K$5)+(M156*K$6)+E156)*1.1)*IF(EXACT("Yes",MP5!H$8),1.05,1)*(0.05*C$5)),((IF(EXACT("Y",S156),O156,0)+(J156*K$3)+(K156*K$4)+(L156*K$5)+(M156*K$6)+E156)*IF(EXACT("Yes",MP5!H$8),1.05,1)*(0.05*C$5))))</f>
        <v>522</v>
      </c>
      <c r="AD156" s="89">
        <f>F156+(J156*I$3)+(K156*I$4)+(L156*I$5)+(M156*I$6)+IF(EXACT("Y",S156),P156,0)+((IF(EXACT("Human",MP5!H$13),(((IF(EXACT("Y",S156),O156,0)+(J156*K$3)+(K156*K$4)+(L156*K$5)+(M156*K$6)+E156)*1.1)*IF(EXACT("Yes",MP5!H$8),1.05,1)*(0.05*C$5)),((IF(EXACT("Y",S156),O156,0)+(J156*K$3)+(K156*K$4)+(L156*K$5)+(M156*K$6)+E156)*IF(EXACT("Yes",MP5!H$8),1.05,1)*(0.05*C$5))))*IF(EXACT("Yes",MP5!H$15),1.1,1))</f>
        <v>522</v>
      </c>
    </row>
    <row r="157" spans="1:30" ht="12.75">
      <c r="A157" s="51">
        <f t="shared" si="96"/>
        <v>532.3</v>
      </c>
      <c r="B157" s="53" t="s">
        <v>88</v>
      </c>
      <c r="C157" s="52">
        <v>22</v>
      </c>
      <c r="D157" s="51">
        <v>15</v>
      </c>
      <c r="E157" s="51"/>
      <c r="F157" s="51">
        <v>486</v>
      </c>
      <c r="G157" s="51"/>
      <c r="H157" s="51">
        <v>6</v>
      </c>
      <c r="I157" s="51"/>
      <c r="J157" s="52"/>
      <c r="K157" s="51"/>
      <c r="L157" s="51"/>
      <c r="M157" s="51"/>
      <c r="N157" s="52"/>
      <c r="O157" s="51"/>
      <c r="P157" s="51"/>
      <c r="Q157" s="51"/>
      <c r="R157" s="47">
        <f t="shared" si="88"/>
        <v>0</v>
      </c>
      <c r="S157" s="51" t="str">
        <f t="shared" si="97"/>
        <v>N</v>
      </c>
      <c r="T157" s="52">
        <f t="shared" si="98"/>
        <v>6</v>
      </c>
      <c r="U157" s="51">
        <f t="shared" si="99"/>
        <v>15</v>
      </c>
      <c r="V157" s="51">
        <f t="shared" si="100"/>
        <v>0</v>
      </c>
      <c r="W157" s="92">
        <f>(ROUNDDOWN((Y157-T157)*X!B$8,2))+T157</f>
        <v>7.27</v>
      </c>
      <c r="X157" s="89">
        <f>(ROUNDDOWN((Z157-T157)*X!B$8,2))+T157</f>
        <v>7.78</v>
      </c>
      <c r="Y157" s="92">
        <f>(5*((0.001+X!H$3*SQRT(MP5!D$6+U157)*(MP5!D$5+V157))-(0.001+X!H$3*SQRT(MP5!D$6)*(MP5!D$5))))+T157</f>
        <v>10.251566386823171</v>
      </c>
      <c r="Z157" s="89">
        <f>(5*((0.001+X!H$3*SQRT(MP5!E$6+(U157*IF(EXACT("Yes",MP5!H$15),1.1,1)))*(MP5!E$5+(V157*IF(EXACT("Yes",MP5!H$15),1.1,1))))-(0.001+X!H$3*SQRT(MP5!E$6)*(MP5!E$5))))+T157</f>
        <v>11.949222500137452</v>
      </c>
      <c r="AA157" s="81">
        <f t="shared" si="101"/>
        <v>8.16446991604695</v>
      </c>
      <c r="AB157" s="89">
        <f t="shared" si="102"/>
        <v>9.030766750041236</v>
      </c>
      <c r="AC157" s="92">
        <f>F157+(J157*I$3)+(K157*I$4)+(L157*I$5)+(M157*I$6)+IF(EXACT("Y",S157),P157,0)+(IF(EXACT("Human",MP5!H$13),(((IF(EXACT("Y",S157),O157,0)+(J157*K$3)+(K157*K$4)+(L157*K$5)+(M157*K$6)+E157)*1.1)*IF(EXACT("Yes",MP5!H$8),1.05,1)*(0.05*C$5)),((IF(EXACT("Y",S157),O157,0)+(J157*K$3)+(K157*K$4)+(L157*K$5)+(M157*K$6)+E157)*IF(EXACT("Yes",MP5!H$8),1.05,1)*(0.05*C$5))))</f>
        <v>486</v>
      </c>
      <c r="AD157" s="89">
        <f>F157+(J157*I$3)+(K157*I$4)+(L157*I$5)+(M157*I$6)+IF(EXACT("Y",S157),P157,0)+((IF(EXACT("Human",MP5!H$13),(((IF(EXACT("Y",S157),O157,0)+(J157*K$3)+(K157*K$4)+(L157*K$5)+(M157*K$6)+E157)*1.1)*IF(EXACT("Yes",MP5!H$8),1.05,1)*(0.05*C$5)),((IF(EXACT("Y",S157),O157,0)+(J157*K$3)+(K157*K$4)+(L157*K$5)+(M157*K$6)+E157)*IF(EXACT("Yes",MP5!H$8),1.05,1)*(0.05*C$5))))*IF(EXACT("Yes",MP5!H$15),1.1,1))</f>
        <v>486</v>
      </c>
    </row>
    <row r="158" spans="1:30" ht="12.75">
      <c r="A158" s="51">
        <f t="shared" si="96"/>
        <v>520</v>
      </c>
      <c r="B158" s="50" t="s">
        <v>90</v>
      </c>
      <c r="C158" s="49">
        <v>42</v>
      </c>
      <c r="D158" s="48">
        <v>28</v>
      </c>
      <c r="E158" s="48"/>
      <c r="F158" s="48">
        <v>464</v>
      </c>
      <c r="G158" s="48"/>
      <c r="H158" s="48"/>
      <c r="I158" s="48"/>
      <c r="J158" s="49"/>
      <c r="K158" s="48"/>
      <c r="L158" s="48"/>
      <c r="M158" s="48"/>
      <c r="N158" s="49"/>
      <c r="O158" s="48"/>
      <c r="P158" s="48"/>
      <c r="Q158" s="48"/>
      <c r="R158" s="47">
        <f t="shared" si="88"/>
        <v>0</v>
      </c>
      <c r="S158" s="51" t="str">
        <f t="shared" si="97"/>
        <v>N</v>
      </c>
      <c r="T158" s="52">
        <f t="shared" si="98"/>
        <v>0</v>
      </c>
      <c r="U158" s="51">
        <f t="shared" si="99"/>
        <v>28</v>
      </c>
      <c r="V158" s="51">
        <f t="shared" si="100"/>
        <v>0</v>
      </c>
      <c r="W158" s="92">
        <f>(ROUNDDOWN((Y158-T158)*X!B$8,2))+T158</f>
        <v>2.36</v>
      </c>
      <c r="X158" s="89">
        <f>(ROUNDDOWN((Z158-T158)*X!B$8,2))+T158</f>
        <v>3.31</v>
      </c>
      <c r="Y158" s="92">
        <f>(5*((0.001+X!H$3*SQRT(MP5!D$6+U158)*(MP5!D$5+V158))-(0.001+X!H$3*SQRT(MP5!D$6)*(MP5!D$5))))+T158</f>
        <v>7.883904582731596</v>
      </c>
      <c r="Z158" s="89">
        <f>(5*((0.001+X!H$3*SQRT(MP5!E$6+(U158*IF(EXACT("Yes",MP5!H$15),1.1,1)))*(MP5!E$5+(V158*IF(EXACT("Yes",MP5!H$15),1.1,1))))-(0.001+X!H$3*SQRT(MP5!E$6)*(MP5!E$5))))+T158</f>
        <v>11.037459975129593</v>
      </c>
      <c r="AA158" s="81">
        <f t="shared" si="101"/>
        <v>4.017171374819479</v>
      </c>
      <c r="AB158" s="89">
        <f t="shared" si="102"/>
        <v>5.628237992538878</v>
      </c>
      <c r="AC158" s="92">
        <f>F158+(J158*I$3)+(K158*I$4)+(L158*I$5)+(M158*I$6)+IF(EXACT("Y",S158),P158,0)+(IF(EXACT("Human",MP5!H$13),(((IF(EXACT("Y",S158),O158,0)+(J158*K$3)+(K158*K$4)+(L158*K$5)+(M158*K$6)+E158)*1.1)*IF(EXACT("Yes",MP5!H$8),1.05,1)*(0.05*C$5)),((IF(EXACT("Y",S158),O158,0)+(J158*K$3)+(K158*K$4)+(L158*K$5)+(M158*K$6)+E158)*IF(EXACT("Yes",MP5!H$8),1.05,1)*(0.05*C$5))))</f>
        <v>464</v>
      </c>
      <c r="AD158" s="89">
        <f>F158+(J158*I$3)+(K158*I$4)+(L158*I$5)+(M158*I$6)+IF(EXACT("Y",S158),P158,0)+((IF(EXACT("Human",MP5!H$13),(((IF(EXACT("Y",S158),O158,0)+(J158*K$3)+(K158*K$4)+(L158*K$5)+(M158*K$6)+E158)*1.1)*IF(EXACT("Yes",MP5!H$8),1.05,1)*(0.05*C$5)),((IF(EXACT("Y",S158),O158,0)+(J158*K$3)+(K158*K$4)+(L158*K$5)+(M158*K$6)+E158)*IF(EXACT("Yes",MP5!H$8),1.05,1)*(0.05*C$5))))*IF(EXACT("Yes",MP5!H$15),1.1,1))</f>
        <v>464</v>
      </c>
    </row>
    <row r="159" spans="1:30" ht="12.75">
      <c r="A159" s="51">
        <f t="shared" si="96"/>
        <v>511.8</v>
      </c>
      <c r="B159" s="53" t="s">
        <v>87</v>
      </c>
      <c r="C159" s="52">
        <v>28</v>
      </c>
      <c r="D159" s="51">
        <v>20</v>
      </c>
      <c r="E159" s="51"/>
      <c r="F159" s="51">
        <v>443</v>
      </c>
      <c r="G159" s="51"/>
      <c r="H159" s="51">
        <v>11</v>
      </c>
      <c r="I159" s="51"/>
      <c r="J159" s="52"/>
      <c r="K159" s="51"/>
      <c r="L159" s="51"/>
      <c r="M159" s="51"/>
      <c r="N159" s="52"/>
      <c r="O159" s="51"/>
      <c r="P159" s="51"/>
      <c r="Q159" s="51"/>
      <c r="R159" s="47">
        <f t="shared" si="88"/>
        <v>0</v>
      </c>
      <c r="S159" s="51" t="str">
        <f t="shared" si="97"/>
        <v>N</v>
      </c>
      <c r="T159" s="52">
        <f t="shared" si="98"/>
        <v>11</v>
      </c>
      <c r="U159" s="51">
        <f t="shared" si="99"/>
        <v>20</v>
      </c>
      <c r="V159" s="51">
        <f t="shared" si="100"/>
        <v>0</v>
      </c>
      <c r="W159" s="92">
        <f>(ROUNDDOWN((Y159-T159)*X!B$8,2))+T159</f>
        <v>12.69</v>
      </c>
      <c r="X159" s="89">
        <f>(ROUNDDOWN((Z159-T159)*X!B$8,2))+T159</f>
        <v>13.370000000000001</v>
      </c>
      <c r="Y159" s="92">
        <f>(5*((0.001+X!H$3*SQRT(MP5!D$6+U159)*(MP5!D$5+V159))-(0.001+X!H$3*SQRT(MP5!D$6)*(MP5!D$5))))+T159</f>
        <v>16.65425584326487</v>
      </c>
      <c r="Z159" s="89">
        <f>(5*((0.001+X!H$3*SQRT(MP5!E$6+(U159*IF(EXACT("Yes",MP5!H$15),1.1,1)))*(MP5!E$5+(V159*IF(EXACT("Yes",MP5!H$15),1.1,1))))-(0.001+X!H$3*SQRT(MP5!E$6)*(MP5!E$5))))+T159</f>
        <v>18.913542818544954</v>
      </c>
      <c r="AA159" s="81">
        <f t="shared" si="101"/>
        <v>13.879276752979461</v>
      </c>
      <c r="AB159" s="89">
        <f t="shared" si="102"/>
        <v>15.033062845563487</v>
      </c>
      <c r="AC159" s="92">
        <f>F159+(J159*I$3)+(K159*I$4)+(L159*I$5)+(M159*I$6)+IF(EXACT("Y",S159),P159,0)+(IF(EXACT("Human",MP5!H$13),(((IF(EXACT("Y",S159),O159,0)+(J159*K$3)+(K159*K$4)+(L159*K$5)+(M159*K$6)+E159)*1.1)*IF(EXACT("Yes",MP5!H$8),1.05,1)*(0.05*C$5)),((IF(EXACT("Y",S159),O159,0)+(J159*K$3)+(K159*K$4)+(L159*K$5)+(M159*K$6)+E159)*IF(EXACT("Yes",MP5!H$8),1.05,1)*(0.05*C$5))))</f>
        <v>443</v>
      </c>
      <c r="AD159" s="89">
        <f>F159+(J159*I$3)+(K159*I$4)+(L159*I$5)+(M159*I$6)+IF(EXACT("Y",S159),P159,0)+((IF(EXACT("Human",MP5!H$13),(((IF(EXACT("Y",S159),O159,0)+(J159*K$3)+(K159*K$4)+(L159*K$5)+(M159*K$6)+E159)*1.1)*IF(EXACT("Yes",MP5!H$8),1.05,1)*(0.05*C$5)),((IF(EXACT("Y",S159),O159,0)+(J159*K$3)+(K159*K$4)+(L159*K$5)+(M159*K$6)+E159)*IF(EXACT("Yes",MP5!H$8),1.05,1)*(0.05*C$5))))*IF(EXACT("Yes",MP5!H$15),1.1,1))</f>
        <v>443</v>
      </c>
    </row>
    <row r="160" spans="1:30" ht="12.75">
      <c r="A160" s="51">
        <f t="shared" si="96"/>
        <v>470.5</v>
      </c>
      <c r="B160" s="53" t="s">
        <v>86</v>
      </c>
      <c r="C160" s="52"/>
      <c r="D160" s="51">
        <v>19</v>
      </c>
      <c r="E160" s="51"/>
      <c r="F160" s="48">
        <v>431</v>
      </c>
      <c r="G160" s="51">
        <v>30</v>
      </c>
      <c r="H160" s="51"/>
      <c r="I160" s="51"/>
      <c r="J160" s="52"/>
      <c r="K160" s="51"/>
      <c r="L160" s="51"/>
      <c r="M160" s="51"/>
      <c r="N160" s="52"/>
      <c r="O160" s="51"/>
      <c r="P160" s="51"/>
      <c r="Q160" s="51"/>
      <c r="R160" s="47">
        <f t="shared" si="88"/>
        <v>0</v>
      </c>
      <c r="S160" s="51" t="str">
        <f t="shared" si="97"/>
        <v>N</v>
      </c>
      <c r="T160" s="52">
        <f t="shared" si="98"/>
        <v>0</v>
      </c>
      <c r="U160" s="51">
        <f t="shared" si="99"/>
        <v>19</v>
      </c>
      <c r="V160" s="51">
        <f t="shared" si="100"/>
        <v>0</v>
      </c>
      <c r="W160" s="92">
        <f>(ROUNDDOWN((Y160-T160)*X!B$8,2))+T160</f>
        <v>1.61</v>
      </c>
      <c r="X160" s="89">
        <f>(ROUNDDOWN((Z160-T160)*X!B$8,2))+T160</f>
        <v>2.25</v>
      </c>
      <c r="Y160" s="92">
        <f>(5*((0.001+X!H$3*SQRT(MP5!D$6+U160)*(MP5!D$5+V160))-(0.001+X!H$3*SQRT(MP5!D$6)*(MP5!D$5))))+T160</f>
        <v>5.374286709011429</v>
      </c>
      <c r="Z160" s="89">
        <f>(5*((0.001+X!H$3*SQRT(MP5!E$6+(U160*IF(EXACT("Yes",MP5!H$15),1.1,1)))*(MP5!E$5+(V160*IF(EXACT("Yes",MP5!H$15),1.1,1))))-(0.001+X!H$3*SQRT(MP5!E$6)*(MP5!E$5))))+T160</f>
        <v>7.52141549350398</v>
      </c>
      <c r="AA160" s="81">
        <f t="shared" si="101"/>
        <v>2.739286012703429</v>
      </c>
      <c r="AB160" s="89">
        <f t="shared" si="102"/>
        <v>3.831424648051194</v>
      </c>
      <c r="AC160" s="92">
        <f>F160+(J160*I$3)+(K160*I$4)+(L160*I$5)+(M160*I$6)+IF(EXACT("Y",S160),P160,0)+(IF(EXACT("Human",MP5!H$13),(((IF(EXACT("Y",S160),O160,0)+(J160*K$3)+(K160*K$4)+(L160*K$5)+(M160*K$6)+E160)*1.1)*IF(EXACT("Yes",MP5!H$8),1.05,1)*(0.05*C$5)),((IF(EXACT("Y",S160),O160,0)+(J160*K$3)+(K160*K$4)+(L160*K$5)+(M160*K$6)+E160)*IF(EXACT("Yes",MP5!H$8),1.05,1)*(0.05*C$5))))</f>
        <v>431</v>
      </c>
      <c r="AD160" s="89">
        <f>F160+(J160*I$3)+(K160*I$4)+(L160*I$5)+(M160*I$6)+IF(EXACT("Y",S160),P160,0)+((IF(EXACT("Human",MP5!H$13),(((IF(EXACT("Y",S160),O160,0)+(J160*K$3)+(K160*K$4)+(L160*K$5)+(M160*K$6)+E160)*1.1)*IF(EXACT("Yes",MP5!H$8),1.05,1)*(0.05*C$5)),((IF(EXACT("Y",S160),O160,0)+(J160*K$3)+(K160*K$4)+(L160*K$5)+(M160*K$6)+E160)*IF(EXACT("Yes",MP5!H$8),1.05,1)*(0.05*C$5))))*IF(EXACT("Yes",MP5!H$15),1.1,1))</f>
        <v>431</v>
      </c>
    </row>
    <row r="161" spans="1:30" ht="12.75">
      <c r="A161" s="51">
        <f t="shared" si="96"/>
        <v>434.5</v>
      </c>
      <c r="B161" s="53" t="s">
        <v>85</v>
      </c>
      <c r="C161" s="52">
        <v>16</v>
      </c>
      <c r="D161" s="51">
        <v>21</v>
      </c>
      <c r="E161" s="51">
        <v>20</v>
      </c>
      <c r="F161" s="48">
        <v>382</v>
      </c>
      <c r="G161" s="51"/>
      <c r="H161" s="51"/>
      <c r="I161" s="51"/>
      <c r="J161" s="52"/>
      <c r="K161" s="51"/>
      <c r="L161" s="51"/>
      <c r="M161" s="51"/>
      <c r="N161" s="52"/>
      <c r="O161" s="51"/>
      <c r="P161" s="51"/>
      <c r="Q161" s="51"/>
      <c r="R161" s="47">
        <f t="shared" si="88"/>
        <v>0</v>
      </c>
      <c r="S161" s="51" t="str">
        <f t="shared" si="97"/>
        <v>N</v>
      </c>
      <c r="T161" s="52">
        <f t="shared" si="98"/>
        <v>0</v>
      </c>
      <c r="U161" s="51">
        <f t="shared" si="99"/>
        <v>21</v>
      </c>
      <c r="V161" s="51">
        <f t="shared" si="100"/>
        <v>23.1</v>
      </c>
      <c r="W161" s="92">
        <f>(ROUNDDOWN((Y161-T161)*X!B$8,2))+T161</f>
        <v>8.97</v>
      </c>
      <c r="X161" s="89">
        <f>(ROUNDDOWN((Z161-T161)*X!B$8,2))+T161</f>
        <v>11.12</v>
      </c>
      <c r="Y161" s="92">
        <f>(5*((0.001+X!H$3*SQRT(MP5!D$6+U161)*(MP5!D$5+V161))-(0.001+X!H$3*SQRT(MP5!D$6)*(MP5!D$5))))+T161</f>
        <v>29.925850976948993</v>
      </c>
      <c r="Z161" s="89">
        <f>(5*((0.001+X!H$3*SQRT(MP5!E$6+(U161*IF(EXACT("Yes",MP5!H$15),1.1,1)))*(MP5!E$5+(V161*IF(EXACT("Yes",MP5!H$15),1.1,1))))-(0.001+X!H$3*SQRT(MP5!E$6)*(MP5!E$5))))+T161</f>
        <v>37.07898213019824</v>
      </c>
      <c r="AA161" s="81">
        <f t="shared" si="101"/>
        <v>15.2567552930847</v>
      </c>
      <c r="AB161" s="89">
        <f t="shared" si="102"/>
        <v>18.90769463905947</v>
      </c>
      <c r="AC161" s="92">
        <f>F161+(J161*I$3)+(K161*I$4)+(L161*I$5)+(M161*I$6)+IF(EXACT("Y",S161),P161,0)+(IF(EXACT("Human",MP5!H$13),(((IF(EXACT("Y",S161),O161,0)+(J161*K$3)+(K161*K$4)+(L161*K$5)+(M161*K$6)+E161)*1.1)*IF(EXACT("Yes",MP5!H$8),1.05,1)*(0.05*C$5)),((IF(EXACT("Y",S161),O161,0)+(J161*K$3)+(K161*K$4)+(L161*K$5)+(M161*K$6)+E161)*IF(EXACT("Yes",MP5!H$8),1.05,1)*(0.05*C$5))))</f>
        <v>387</v>
      </c>
      <c r="AD161" s="89">
        <f>F161+(J161*I$3)+(K161*I$4)+(L161*I$5)+(M161*I$6)+IF(EXACT("Y",S161),P161,0)+((IF(EXACT("Human",MP5!H$13),(((IF(EXACT("Y",S161),O161,0)+(J161*K$3)+(K161*K$4)+(L161*K$5)+(M161*K$6)+E161)*1.1)*IF(EXACT("Yes",MP5!H$8),1.05,1)*(0.05*C$5)),((IF(EXACT("Y",S161),O161,0)+(J161*K$3)+(K161*K$4)+(L161*K$5)+(M161*K$6)+E161)*IF(EXACT("Yes",MP5!H$8),1.05,1)*(0.05*C$5))))*IF(EXACT("Yes",MP5!H$15),1.1,1))</f>
        <v>387.5</v>
      </c>
    </row>
    <row r="162" spans="1:30" ht="12.75">
      <c r="A162" s="51">
        <f t="shared" si="96"/>
        <v>396.8</v>
      </c>
      <c r="B162" s="53" t="s">
        <v>84</v>
      </c>
      <c r="C162" s="52">
        <v>22</v>
      </c>
      <c r="D162" s="51">
        <v>20</v>
      </c>
      <c r="E162" s="51"/>
      <c r="F162" s="48">
        <v>348</v>
      </c>
      <c r="G162" s="51"/>
      <c r="H162" s="51">
        <v>6</v>
      </c>
      <c r="I162" s="51"/>
      <c r="J162" s="52"/>
      <c r="K162" s="51"/>
      <c r="L162" s="51"/>
      <c r="M162" s="51"/>
      <c r="N162" s="52"/>
      <c r="O162" s="51"/>
      <c r="P162" s="51"/>
      <c r="Q162" s="51"/>
      <c r="R162" s="47">
        <f t="shared" si="88"/>
        <v>0</v>
      </c>
      <c r="S162" s="51" t="str">
        <f t="shared" si="97"/>
        <v>N</v>
      </c>
      <c r="T162" s="52">
        <f t="shared" si="98"/>
        <v>6</v>
      </c>
      <c r="U162" s="51">
        <f t="shared" si="99"/>
        <v>20</v>
      </c>
      <c r="V162" s="51">
        <f t="shared" si="100"/>
        <v>0</v>
      </c>
      <c r="W162" s="92">
        <f>(ROUNDDOWN((Y162-T162)*X!B$8,2))+T162</f>
        <v>7.6899999999999995</v>
      </c>
      <c r="X162" s="89">
        <f>(ROUNDDOWN((Z162-T162)*X!B$8,2))+T162</f>
        <v>8.370000000000001</v>
      </c>
      <c r="Y162" s="92">
        <f>(5*((0.001+X!H$3*SQRT(MP5!D$6+U162)*(MP5!D$5+V162))-(0.001+X!H$3*SQRT(MP5!D$6)*(MP5!D$5))))+T162</f>
        <v>11.65425584326487</v>
      </c>
      <c r="Z162" s="89">
        <f>(5*((0.001+X!H$3*SQRT(MP5!E$6+(U162*IF(EXACT("Yes",MP5!H$15),1.1,1)))*(MP5!E$5+(V162*IF(EXACT("Yes",MP5!H$15),1.1,1))))-(0.001+X!H$3*SQRT(MP5!E$6)*(MP5!E$5))))+T162</f>
        <v>13.913542818544954</v>
      </c>
      <c r="AA162" s="81">
        <f t="shared" si="101"/>
        <v>8.879276752979461</v>
      </c>
      <c r="AB162" s="89">
        <f t="shared" si="102"/>
        <v>10.033062845563487</v>
      </c>
      <c r="AC162" s="92">
        <f>F162+(J162*I$3)+(K162*I$4)+(L162*I$5)+(M162*I$6)+IF(EXACT("Y",S162),P162,0)+(IF(EXACT("Human",MP5!H$13),(((IF(EXACT("Y",S162),O162,0)+(J162*K$3)+(K162*K$4)+(L162*K$5)+(M162*K$6)+E162)*1.1)*IF(EXACT("Yes",MP5!H$8),1.05,1)*(0.05*C$5)),((IF(EXACT("Y",S162),O162,0)+(J162*K$3)+(K162*K$4)+(L162*K$5)+(M162*K$6)+E162)*IF(EXACT("Yes",MP5!H$8),1.05,1)*(0.05*C$5))))</f>
        <v>348</v>
      </c>
      <c r="AD162" s="89">
        <f>F162+(J162*I$3)+(K162*I$4)+(L162*I$5)+(M162*I$6)+IF(EXACT("Y",S162),P162,0)+((IF(EXACT("Human",MP5!H$13),(((IF(EXACT("Y",S162),O162,0)+(J162*K$3)+(K162*K$4)+(L162*K$5)+(M162*K$6)+E162)*1.1)*IF(EXACT("Yes",MP5!H$8),1.05,1)*(0.05*C$5)),((IF(EXACT("Y",S162),O162,0)+(J162*K$3)+(K162*K$4)+(L162*K$5)+(M162*K$6)+E162)*IF(EXACT("Yes",MP5!H$8),1.05,1)*(0.05*C$5))))*IF(EXACT("Yes",MP5!H$15),1.1,1))</f>
        <v>348</v>
      </c>
    </row>
    <row r="163" spans="1:30" ht="12.75">
      <c r="A163" s="51">
        <f t="shared" si="96"/>
        <v>0</v>
      </c>
      <c r="B163" s="50"/>
      <c r="C163" s="49"/>
      <c r="D163" s="48"/>
      <c r="E163" s="48"/>
      <c r="F163" s="48"/>
      <c r="G163" s="48"/>
      <c r="H163" s="48"/>
      <c r="I163" s="48"/>
      <c r="J163" s="49"/>
      <c r="K163" s="48"/>
      <c r="L163" s="48"/>
      <c r="M163" s="48"/>
      <c r="N163" s="49"/>
      <c r="O163" s="48"/>
      <c r="P163" s="48"/>
      <c r="Q163" s="48"/>
      <c r="R163" s="47">
        <f t="shared" si="88"/>
        <v>0</v>
      </c>
      <c r="S163" s="51" t="str">
        <f t="shared" si="97"/>
        <v>N</v>
      </c>
      <c r="T163" s="52">
        <f t="shared" si="98"/>
        <v>0</v>
      </c>
      <c r="U163" s="51">
        <f t="shared" si="99"/>
        <v>0</v>
      </c>
      <c r="V163" s="51">
        <f t="shared" si="100"/>
        <v>0</v>
      </c>
      <c r="W163" s="92">
        <f>(ROUNDDOWN((Y163-T163)*X!B$8,2))+T163</f>
        <v>0</v>
      </c>
      <c r="X163" s="89">
        <f>(ROUNDDOWN((Z163-T163)*X!B$8,2))+T163</f>
        <v>0</v>
      </c>
      <c r="Y163" s="92">
        <f>(5*((0.001+X!H$3*SQRT(MP5!D$6+U163)*(MP5!D$5+V163))-(0.001+X!H$3*SQRT(MP5!D$6)*(MP5!D$5))))+T163</f>
        <v>0</v>
      </c>
      <c r="Z163" s="89">
        <f>(5*((0.001+X!H$3*SQRT(MP5!E$6+(U163*IF(EXACT("Yes",MP5!H$15),1.1,1)))*(MP5!E$5+(V163*IF(EXACT("Yes",MP5!H$15),1.1,1))))-(0.001+X!H$3*SQRT(MP5!E$6)*(MP5!E$5))))+T163</f>
        <v>0</v>
      </c>
      <c r="AA163" s="81">
        <f t="shared" si="101"/>
        <v>0</v>
      </c>
      <c r="AB163" s="89">
        <f t="shared" si="102"/>
        <v>0</v>
      </c>
      <c r="AC163" s="92">
        <f>F163+(J163*I$3)+(K163*I$4)+(L163*I$5)+(M163*I$6)+IF(EXACT("Y",S163),P163,0)+(IF(EXACT("Human",MP5!H$13),(((IF(EXACT("Y",S163),O163,0)+(J163*K$3)+(K163*K$4)+(L163*K$5)+(M163*K$6)+E163)*1.1)*IF(EXACT("Yes",MP5!H$8),1.05,1)*(0.05*C$5)),((IF(EXACT("Y",S163),O163,0)+(J163*K$3)+(K163*K$4)+(L163*K$5)+(M163*K$6)+E163)*IF(EXACT("Yes",MP5!H$8),1.05,1)*(0.05*C$5))))</f>
        <v>0</v>
      </c>
      <c r="AD163" s="89">
        <f>F163+(J163*I$3)+(K163*I$4)+(L163*I$5)+(M163*I$6)+IF(EXACT("Y",S163),P163,0)+((IF(EXACT("Human",MP5!H$13),(((IF(EXACT("Y",S163),O163,0)+(J163*K$3)+(K163*K$4)+(L163*K$5)+(M163*K$6)+E163)*1.1)*IF(EXACT("Yes",MP5!H$8),1.05,1)*(0.05*C$5)),((IF(EXACT("Y",S163),O163,0)+(J163*K$3)+(K163*K$4)+(L163*K$5)+(M163*K$6)+E163)*IF(EXACT("Yes",MP5!H$8),1.05,1)*(0.05*C$5))))*IF(EXACT("Yes",MP5!H$15),1.1,1))</f>
        <v>0</v>
      </c>
    </row>
    <row r="164" spans="1:30" ht="12.75">
      <c r="A164" s="51">
        <f t="shared" si="96"/>
        <v>0</v>
      </c>
      <c r="B164" s="50"/>
      <c r="C164" s="49"/>
      <c r="D164" s="48"/>
      <c r="E164" s="48"/>
      <c r="F164" s="48"/>
      <c r="G164" s="48"/>
      <c r="H164" s="48"/>
      <c r="I164" s="48"/>
      <c r="J164" s="49"/>
      <c r="K164" s="48"/>
      <c r="L164" s="48"/>
      <c r="M164" s="48"/>
      <c r="N164" s="49"/>
      <c r="O164" s="48"/>
      <c r="P164" s="48"/>
      <c r="Q164" s="48"/>
      <c r="R164" s="47">
        <f t="shared" si="88"/>
        <v>0</v>
      </c>
      <c r="S164" s="51" t="str">
        <f t="shared" si="97"/>
        <v>N</v>
      </c>
      <c r="T164" s="52">
        <f t="shared" si="98"/>
        <v>0</v>
      </c>
      <c r="U164" s="51">
        <f t="shared" si="99"/>
        <v>0</v>
      </c>
      <c r="V164" s="51">
        <f t="shared" si="100"/>
        <v>0</v>
      </c>
      <c r="W164" s="92">
        <f>(ROUNDDOWN((Y164-T164)*X!B$8,2))+T164</f>
        <v>0</v>
      </c>
      <c r="X164" s="89">
        <f>(ROUNDDOWN((Z164-T164)*X!B$8,2))+T164</f>
        <v>0</v>
      </c>
      <c r="Y164" s="92">
        <f>(5*((0.001+X!H$3*SQRT(MP5!D$6+U164)*(MP5!D$5+V164))-(0.001+X!H$3*SQRT(MP5!D$6)*(MP5!D$5))))+T164</f>
        <v>0</v>
      </c>
      <c r="Z164" s="89">
        <f>(5*((0.001+X!H$3*SQRT(MP5!E$6+(U164*IF(EXACT("Yes",MP5!H$15),1.1,1)))*(MP5!E$5+(V164*IF(EXACT("Yes",MP5!H$15),1.1,1))))-(0.001+X!H$3*SQRT(MP5!E$6)*(MP5!E$5))))+T164</f>
        <v>0</v>
      </c>
      <c r="AA164" s="81">
        <f t="shared" si="101"/>
        <v>0</v>
      </c>
      <c r="AB164" s="89">
        <f t="shared" si="102"/>
        <v>0</v>
      </c>
      <c r="AC164" s="92">
        <f>F164+(J164*I$3)+(K164*I$4)+(L164*I$5)+(M164*I$6)+IF(EXACT("Y",S164),P164,0)+(IF(EXACT("Human",MP5!H$13),(((IF(EXACT("Y",S164),O164,0)+(J164*K$3)+(K164*K$4)+(L164*K$5)+(M164*K$6)+E164)*1.1)*IF(EXACT("Yes",MP5!H$8),1.05,1)*(0.05*C$5)),((IF(EXACT("Y",S164),O164,0)+(J164*K$3)+(K164*K$4)+(L164*K$5)+(M164*K$6)+E164)*IF(EXACT("Yes",MP5!H$8),1.05,1)*(0.05*C$5))))</f>
        <v>0</v>
      </c>
      <c r="AD164" s="89">
        <f>F164+(J164*I$3)+(K164*I$4)+(L164*I$5)+(M164*I$6)+IF(EXACT("Y",S164),P164,0)+((IF(EXACT("Human",MP5!H$13),(((IF(EXACT("Y",S164),O164,0)+(J164*K$3)+(K164*K$4)+(L164*K$5)+(M164*K$6)+E164)*1.1)*IF(EXACT("Yes",MP5!H$8),1.05,1)*(0.05*C$5)),((IF(EXACT("Y",S164),O164,0)+(J164*K$3)+(K164*K$4)+(L164*K$5)+(M164*K$6)+E164)*IF(EXACT("Yes",MP5!H$8),1.05,1)*(0.05*C$5))))*IF(EXACT("Yes",MP5!H$15),1.1,1))</f>
        <v>0</v>
      </c>
    </row>
    <row r="165" spans="1:30" ht="12.75">
      <c r="A165" s="59" t="s">
        <v>77</v>
      </c>
      <c r="B165" s="63" t="s">
        <v>83</v>
      </c>
      <c r="C165" s="62" t="s">
        <v>75</v>
      </c>
      <c r="D165" s="60" t="s">
        <v>68</v>
      </c>
      <c r="E165" s="60" t="s">
        <v>67</v>
      </c>
      <c r="F165" s="60" t="s">
        <v>66</v>
      </c>
      <c r="G165" s="60" t="s">
        <v>74</v>
      </c>
      <c r="H165" s="60" t="s">
        <v>65</v>
      </c>
      <c r="I165" s="60" t="s">
        <v>73</v>
      </c>
      <c r="J165" s="61" t="s">
        <v>72</v>
      </c>
      <c r="K165" s="59" t="s">
        <v>71</v>
      </c>
      <c r="L165" s="59" t="s">
        <v>70</v>
      </c>
      <c r="M165" s="59" t="s">
        <v>69</v>
      </c>
      <c r="N165" s="61" t="s">
        <v>68</v>
      </c>
      <c r="O165" s="59" t="s">
        <v>67</v>
      </c>
      <c r="P165" s="60" t="s">
        <v>66</v>
      </c>
      <c r="Q165" s="59" t="s">
        <v>65</v>
      </c>
      <c r="R165" s="47">
        <f t="shared" si="88"/>
        <v>3</v>
      </c>
      <c r="S165" s="59" t="s">
        <v>64</v>
      </c>
      <c r="T165" s="61" t="s">
        <v>65</v>
      </c>
      <c r="U165" s="59" t="s">
        <v>68</v>
      </c>
      <c r="V165" s="59" t="s">
        <v>67</v>
      </c>
      <c r="W165" s="90" t="s">
        <v>1</v>
      </c>
      <c r="X165" s="91" t="s">
        <v>2</v>
      </c>
      <c r="Y165" s="90" t="s">
        <v>1</v>
      </c>
      <c r="Z165" s="91" t="s">
        <v>2</v>
      </c>
      <c r="AA165" s="59" t="s">
        <v>1</v>
      </c>
      <c r="AB165" s="59" t="s">
        <v>2</v>
      </c>
      <c r="AC165" s="90" t="s">
        <v>1</v>
      </c>
      <c r="AD165" s="91" t="s">
        <v>2</v>
      </c>
    </row>
    <row r="166" spans="1:30" ht="12.75">
      <c r="A166" s="51">
        <f aca="true" t="shared" si="103" ref="A166:A172">C166*W$6+D166*Z$3+E166*Y$3+F166*X$3+H166*W$3+J166*X$6+K166*Z$6+L166*Y$6+G166*W$9+I166*AH184+M166*Z$9+(IF(S166="Y",((P166*X$3)+(Q166*W$3)+(O166*Y$3)+(N166*Z$3)),0))</f>
        <v>142</v>
      </c>
      <c r="B166" s="53" t="s">
        <v>81</v>
      </c>
      <c r="C166" s="52">
        <v>24</v>
      </c>
      <c r="D166" s="51">
        <v>17</v>
      </c>
      <c r="E166" s="51">
        <v>25</v>
      </c>
      <c r="F166" s="51">
        <v>77</v>
      </c>
      <c r="G166" s="51"/>
      <c r="H166" s="51"/>
      <c r="I166" s="51"/>
      <c r="J166" s="52"/>
      <c r="K166" s="51"/>
      <c r="L166" s="51"/>
      <c r="M166" s="51"/>
      <c r="N166" s="52"/>
      <c r="O166" s="51"/>
      <c r="P166" s="51"/>
      <c r="Q166" s="51"/>
      <c r="R166" s="47">
        <f t="shared" si="88"/>
        <v>0</v>
      </c>
      <c r="S166" s="51" t="str">
        <f aca="true" t="shared" si="104" ref="S166:S172">IF(R166&gt;0,"Y","N")</f>
        <v>N</v>
      </c>
      <c r="T166" s="52">
        <f aca="true" t="shared" si="105" ref="T166:T172">H166+(J166*H$3)+(K166*H$4)+(L166*H$5)+(M166*H$6)+IF(EXACT("Y",S166),Q166,0)</f>
        <v>0</v>
      </c>
      <c r="U166" s="51">
        <f aca="true" t="shared" si="106" ref="U166:U172">(D166+(J166*J$3)+(K166*J$4)+(L166*J$5)+(M166*J$6)+IF(EXACT("Y",S166),N166,0))*(1+C$6)</f>
        <v>17</v>
      </c>
      <c r="V166" s="51">
        <f aca="true" t="shared" si="107" ref="V166:V172">((((E166+(J166*K$3)+(K166*K$4)+(L166*K$5)+(M166*K$6)+IF(EXACT("Y",S166),O166,0))*IF(EXACT("Yes",C$3),1.1,1))*IF(EXACT("Yes",C$4),1.05,1)))*(1+C$6)</f>
        <v>28.875000000000004</v>
      </c>
      <c r="W166" s="92">
        <f>(ROUNDDOWN((Y166-T166)*X!B$8,2))+T166</f>
        <v>10.4</v>
      </c>
      <c r="X166" s="89">
        <f>(ROUNDDOWN((Z166-T166)*X!B$8,2))+T166</f>
        <v>12.77</v>
      </c>
      <c r="Y166" s="92">
        <f>(5*((0.001+X!H$3*SQRT(MP5!D$6+U166)*(MP5!D$5+V166))-(0.001+X!H$3*SQRT(MP5!D$6)*(MP5!D$5))))+T166</f>
        <v>34.68221110379076</v>
      </c>
      <c r="Z166" s="89">
        <f>(5*((0.001+X!H$3*SQRT(MP5!E$6+(U166*IF(EXACT("Yes",MP5!H$15),1.1,1)))*(MP5!E$5+(V166*IF(EXACT("Yes",MP5!H$15),1.1,1))))-(0.001+X!H$3*SQRT(MP5!E$6)*(MP5!E$5))))+T166</f>
        <v>42.568698762300556</v>
      </c>
      <c r="AA166" s="81">
        <f aca="true" t="shared" si="108" ref="AA166:AA172">((Y166-W166)*(1-C$7))+W166</f>
        <v>17.68466333113723</v>
      </c>
      <c r="AB166" s="89">
        <f aca="true" t="shared" si="109" ref="AB166:AB172">((Z166-X166)*(1-C$7))+X166</f>
        <v>21.709609628690167</v>
      </c>
      <c r="AC166" s="92">
        <f>F166+(J166*I$3)+(K166*I$4)+(L166*I$5)+(M166*I$6)+IF(EXACT("Y",S166),P166,0)+(IF(EXACT("Human",MP5!H$13),(((IF(EXACT("Y",S166),O166,0)+(J166*K$3)+(K166*K$4)+(L166*K$5)+(M166*K$6)+E166)*1.1)*IF(EXACT("Yes",MP5!H$8),1.05,1)*(0.05*C$5)),((IF(EXACT("Y",S166),O166,0)+(J166*K$3)+(K166*K$4)+(L166*K$5)+(M166*K$6)+E166)*IF(EXACT("Yes",MP5!H$8),1.05,1)*(0.05*C$5))))</f>
        <v>83.25</v>
      </c>
      <c r="AD166" s="89">
        <f>F166+(J166*I$3)+(K166*I$4)+(L166*I$5)+(M166*I$6)+IF(EXACT("Y",S166),P166,0)+((IF(EXACT("Human",MP5!H$13),(((IF(EXACT("Y",S166),O166,0)+(J166*K$3)+(K166*K$4)+(L166*K$5)+(M166*K$6)+E166)*1.1)*IF(EXACT("Yes",MP5!H$8),1.05,1)*(0.05*C$5)),((IF(EXACT("Y",S166),O166,0)+(J166*K$3)+(K166*K$4)+(L166*K$5)+(M166*K$6)+E166)*IF(EXACT("Yes",MP5!H$8),1.05,1)*(0.05*C$5))))*IF(EXACT("Yes",MP5!H$15),1.1,1))</f>
        <v>83.875</v>
      </c>
    </row>
    <row r="167" spans="1:30" ht="12.75">
      <c r="A167" s="51">
        <f t="shared" si="103"/>
        <v>132.1</v>
      </c>
      <c r="B167" s="53" t="s">
        <v>82</v>
      </c>
      <c r="C167" s="52">
        <v>24</v>
      </c>
      <c r="D167" s="51">
        <v>21</v>
      </c>
      <c r="E167" s="51"/>
      <c r="F167" s="51">
        <v>64</v>
      </c>
      <c r="G167" s="51"/>
      <c r="H167" s="51">
        <v>12</v>
      </c>
      <c r="I167" s="51"/>
      <c r="J167" s="52"/>
      <c r="K167" s="51"/>
      <c r="L167" s="51"/>
      <c r="M167" s="51"/>
      <c r="N167" s="52"/>
      <c r="O167" s="51"/>
      <c r="P167" s="51"/>
      <c r="Q167" s="51"/>
      <c r="R167" s="47">
        <f t="shared" si="88"/>
        <v>0</v>
      </c>
      <c r="S167" s="51" t="str">
        <f t="shared" si="104"/>
        <v>N</v>
      </c>
      <c r="T167" s="52">
        <f t="shared" si="105"/>
        <v>12</v>
      </c>
      <c r="U167" s="51">
        <f t="shared" si="106"/>
        <v>21</v>
      </c>
      <c r="V167" s="51">
        <f t="shared" si="107"/>
        <v>0</v>
      </c>
      <c r="W167" s="92">
        <f>(ROUNDDOWN((Y167-T167)*X!B$8,2))+T167</f>
        <v>13.78</v>
      </c>
      <c r="X167" s="89">
        <f>(ROUNDDOWN((Z167-T167)*X!B$8,2))+T167</f>
        <v>14.49</v>
      </c>
      <c r="Y167" s="92">
        <f>(5*((0.001+X!H$3*SQRT(MP5!D$6+U167)*(MP5!D$5+V167))-(0.001+X!H$3*SQRT(MP5!D$6)*(MP5!D$5))))+T167</f>
        <v>17.933942322951573</v>
      </c>
      <c r="Z167" s="89">
        <f>(5*((0.001+X!H$3*SQRT(MP5!E$6+(U167*IF(EXACT("Yes",MP5!H$15),1.1,1)))*(MP5!E$5+(V167*IF(EXACT("Yes",MP5!H$15),1.1,1))))-(0.001+X!H$3*SQRT(MP5!E$6)*(MP5!E$5))))+T167</f>
        <v>20.305303840380134</v>
      </c>
      <c r="AA167" s="81">
        <f t="shared" si="108"/>
        <v>15.026182696885472</v>
      </c>
      <c r="AB167" s="89">
        <f t="shared" si="109"/>
        <v>16.234591152114042</v>
      </c>
      <c r="AC167" s="92">
        <f>F167+(J167*I$3)+(K167*I$4)+(L167*I$5)+(M167*I$6)+IF(EXACT("Y",S167),P167,0)+(IF(EXACT("Human",MP5!H$13),(((IF(EXACT("Y",S167),O167,0)+(J167*K$3)+(K167*K$4)+(L167*K$5)+(M167*K$6)+E167)*1.1)*IF(EXACT("Yes",MP5!H$8),1.05,1)*(0.05*C$5)),((IF(EXACT("Y",S167),O167,0)+(J167*K$3)+(K167*K$4)+(L167*K$5)+(M167*K$6)+E167)*IF(EXACT("Yes",MP5!H$8),1.05,1)*(0.05*C$5))))</f>
        <v>64</v>
      </c>
      <c r="AD167" s="89">
        <f>F167+(J167*I$3)+(K167*I$4)+(L167*I$5)+(M167*I$6)+IF(EXACT("Y",S167),P167,0)+((IF(EXACT("Human",MP5!H$13),(((IF(EXACT("Y",S167),O167,0)+(J167*K$3)+(K167*K$4)+(L167*K$5)+(M167*K$6)+E167)*1.1)*IF(EXACT("Yes",MP5!H$8),1.05,1)*(0.05*C$5)),((IF(EXACT("Y",S167),O167,0)+(J167*K$3)+(K167*K$4)+(L167*K$5)+(M167*K$6)+E167)*IF(EXACT("Yes",MP5!H$8),1.05,1)*(0.05*C$5))))*IF(EXACT("Yes",MP5!H$15),1.1,1))</f>
        <v>64</v>
      </c>
    </row>
    <row r="168" spans="1:30" ht="12.75">
      <c r="A168" s="51">
        <f t="shared" si="103"/>
        <v>114.8</v>
      </c>
      <c r="B168" s="53" t="s">
        <v>80</v>
      </c>
      <c r="C168" s="52">
        <v>27</v>
      </c>
      <c r="D168" s="51">
        <v>24</v>
      </c>
      <c r="E168" s="51"/>
      <c r="F168" s="48">
        <v>59</v>
      </c>
      <c r="G168" s="51"/>
      <c r="H168" s="51">
        <v>6</v>
      </c>
      <c r="I168" s="51"/>
      <c r="J168" s="52"/>
      <c r="K168" s="51"/>
      <c r="L168" s="51"/>
      <c r="M168" s="51"/>
      <c r="N168" s="52"/>
      <c r="O168" s="51"/>
      <c r="P168" s="51"/>
      <c r="Q168" s="51"/>
      <c r="R168" s="47">
        <f t="shared" si="88"/>
        <v>0</v>
      </c>
      <c r="S168" s="51" t="str">
        <f t="shared" si="104"/>
        <v>N</v>
      </c>
      <c r="T168" s="52">
        <f t="shared" si="105"/>
        <v>6</v>
      </c>
      <c r="U168" s="51">
        <f t="shared" si="106"/>
        <v>24</v>
      </c>
      <c r="V168" s="51">
        <f t="shared" si="107"/>
        <v>0</v>
      </c>
      <c r="W168" s="92">
        <f>(ROUNDDOWN((Y168-T168)*X!B$8,2))+T168</f>
        <v>8.03</v>
      </c>
      <c r="X168" s="89">
        <f>(ROUNDDOWN((Z168-T168)*X!B$8,2))+T168</f>
        <v>8.84</v>
      </c>
      <c r="Y168" s="92">
        <f>(5*((0.001+X!H$3*SQRT(MP5!D$6+U168)*(MP5!D$5+V168))-(0.001+X!H$3*SQRT(MP5!D$6)*(MP5!D$5))))+T168</f>
        <v>12.771314356889384</v>
      </c>
      <c r="Z168" s="89">
        <f>(5*((0.001+X!H$3*SQRT(MP5!E$6+(U168*IF(EXACT("Yes",MP5!H$15),1.1,1)))*(MP5!E$5+(V168*IF(EXACT("Yes",MP5!H$15),1.1,1))))-(0.001+X!H$3*SQRT(MP5!E$6)*(MP5!E$5))))+T168</f>
        <v>15.478399309096872</v>
      </c>
      <c r="AA168" s="81">
        <f t="shared" si="108"/>
        <v>9.452394307066815</v>
      </c>
      <c r="AB168" s="89">
        <f t="shared" si="109"/>
        <v>10.831519792729061</v>
      </c>
      <c r="AC168" s="92">
        <f>F168+(J168*I$3)+(K168*I$4)+(L168*I$5)+(M168*I$6)+IF(EXACT("Y",S168),P168,0)+(IF(EXACT("Human",MP5!H$13),(((IF(EXACT("Y",S168),O168,0)+(J168*K$3)+(K168*K$4)+(L168*K$5)+(M168*K$6)+E168)*1.1)*IF(EXACT("Yes",MP5!H$8),1.05,1)*(0.05*C$5)),((IF(EXACT("Y",S168),O168,0)+(J168*K$3)+(K168*K$4)+(L168*K$5)+(M168*K$6)+E168)*IF(EXACT("Yes",MP5!H$8),1.05,1)*(0.05*C$5))))</f>
        <v>59</v>
      </c>
      <c r="AD168" s="89">
        <f>F168+(J168*I$3)+(K168*I$4)+(L168*I$5)+(M168*I$6)+IF(EXACT("Y",S168),P168,0)+((IF(EXACT("Human",MP5!H$13),(((IF(EXACT("Y",S168),O168,0)+(J168*K$3)+(K168*K$4)+(L168*K$5)+(M168*K$6)+E168)*1.1)*IF(EXACT("Yes",MP5!H$8),1.05,1)*(0.05*C$5)),((IF(EXACT("Y",S168),O168,0)+(J168*K$3)+(K168*K$4)+(L168*K$5)+(M168*K$6)+E168)*IF(EXACT("Yes",MP5!H$8),1.05,1)*(0.05*C$5))))*IF(EXACT("Yes",MP5!H$15),1.1,1))</f>
        <v>59</v>
      </c>
    </row>
    <row r="169" spans="1:30" ht="12.75">
      <c r="A169" s="51">
        <f t="shared" si="103"/>
        <v>115.5</v>
      </c>
      <c r="B169" s="53" t="s">
        <v>79</v>
      </c>
      <c r="C169" s="52">
        <v>18</v>
      </c>
      <c r="D169" s="51">
        <v>20</v>
      </c>
      <c r="E169" s="51">
        <v>25</v>
      </c>
      <c r="F169" s="51">
        <v>55</v>
      </c>
      <c r="G169" s="51"/>
      <c r="H169" s="51"/>
      <c r="I169" s="51"/>
      <c r="J169" s="52"/>
      <c r="K169" s="51"/>
      <c r="L169" s="51"/>
      <c r="M169" s="51"/>
      <c r="N169" s="52"/>
      <c r="O169" s="51"/>
      <c r="P169" s="51"/>
      <c r="Q169" s="51"/>
      <c r="R169" s="47">
        <f t="shared" si="88"/>
        <v>0</v>
      </c>
      <c r="S169" s="51" t="str">
        <f t="shared" si="104"/>
        <v>N</v>
      </c>
      <c r="T169" s="52">
        <f t="shared" si="105"/>
        <v>0</v>
      </c>
      <c r="U169" s="51">
        <f t="shared" si="106"/>
        <v>20</v>
      </c>
      <c r="V169" s="51">
        <f t="shared" si="107"/>
        <v>28.875000000000004</v>
      </c>
      <c r="W169" s="92">
        <f>(ROUNDDOWN((Y169-T169)*X!B$8,2))+T169</f>
        <v>10.68</v>
      </c>
      <c r="X169" s="89">
        <f>(ROUNDDOWN((Z169-T169)*X!B$8,2))+T169</f>
        <v>13.15</v>
      </c>
      <c r="Y169" s="92">
        <f>(5*((0.001+X!H$3*SQRT(MP5!D$6+U169)*(MP5!D$5+V169))-(0.001+X!H$3*SQRT(MP5!D$6)*(MP5!D$5))))+T169</f>
        <v>35.61389466787418</v>
      </c>
      <c r="Z169" s="89">
        <f>(5*((0.001+X!H$3*SQRT(MP5!E$6+(U169*IF(EXACT("Yes",MP5!H$15),1.1,1)))*(MP5!E$5+(V169*IF(EXACT("Yes",MP5!H$15),1.1,1))))-(0.001+X!H$3*SQRT(MP5!E$6)*(MP5!E$5))))+T169</f>
        <v>43.847073619970445</v>
      </c>
      <c r="AA169" s="81">
        <f t="shared" si="108"/>
        <v>18.160168400362252</v>
      </c>
      <c r="AB169" s="89">
        <f t="shared" si="109"/>
        <v>22.359122085991135</v>
      </c>
      <c r="AC169" s="92">
        <f>F169+(J169*I$3)+(K169*I$4)+(L169*I$5)+(M169*I$6)+IF(EXACT("Y",S169),P169,0)+(IF(EXACT("Human",MP5!H$13),(((IF(EXACT("Y",S169),O169,0)+(J169*K$3)+(K169*K$4)+(L169*K$5)+(M169*K$6)+E169)*1.1)*IF(EXACT("Yes",MP5!H$8),1.05,1)*(0.05*C$5)),((IF(EXACT("Y",S169),O169,0)+(J169*K$3)+(K169*K$4)+(L169*K$5)+(M169*K$6)+E169)*IF(EXACT("Yes",MP5!H$8),1.05,1)*(0.05*C$5))))</f>
        <v>61.25</v>
      </c>
      <c r="AD169" s="89">
        <f>F169+(J169*I$3)+(K169*I$4)+(L169*I$5)+(M169*I$6)+IF(EXACT("Y",S169),P169,0)+((IF(EXACT("Human",MP5!H$13),(((IF(EXACT("Y",S169),O169,0)+(J169*K$3)+(K169*K$4)+(L169*K$5)+(M169*K$6)+E169)*1.1)*IF(EXACT("Yes",MP5!H$8),1.05,1)*(0.05*C$5)),((IF(EXACT("Y",S169),O169,0)+(J169*K$3)+(K169*K$4)+(L169*K$5)+(M169*K$6)+E169)*IF(EXACT("Yes",MP5!H$8),1.05,1)*(0.05*C$5))))*IF(EXACT("Yes",MP5!H$15),1.1,1))</f>
        <v>61.875</v>
      </c>
    </row>
    <row r="170" spans="1:30" ht="12.75">
      <c r="A170" s="51">
        <f t="shared" si="103"/>
        <v>84.4</v>
      </c>
      <c r="B170" s="53" t="s">
        <v>78</v>
      </c>
      <c r="C170" s="52"/>
      <c r="D170" s="51">
        <v>22</v>
      </c>
      <c r="E170" s="51"/>
      <c r="F170" s="51">
        <v>51</v>
      </c>
      <c r="G170" s="51"/>
      <c r="H170" s="51">
        <v>8</v>
      </c>
      <c r="I170" s="51"/>
      <c r="J170" s="52"/>
      <c r="K170" s="51"/>
      <c r="L170" s="51"/>
      <c r="M170" s="51"/>
      <c r="N170" s="52"/>
      <c r="O170" s="51"/>
      <c r="P170" s="51"/>
      <c r="Q170" s="51"/>
      <c r="R170" s="47">
        <f t="shared" si="88"/>
        <v>0</v>
      </c>
      <c r="S170" s="51" t="str">
        <f t="shared" si="104"/>
        <v>N</v>
      </c>
      <c r="T170" s="52">
        <f t="shared" si="105"/>
        <v>8</v>
      </c>
      <c r="U170" s="51">
        <f t="shared" si="106"/>
        <v>22</v>
      </c>
      <c r="V170" s="51">
        <f t="shared" si="107"/>
        <v>0</v>
      </c>
      <c r="W170" s="92">
        <f>(ROUNDDOWN((Y170-T170)*X!B$8,2))+T170</f>
        <v>9.86</v>
      </c>
      <c r="X170" s="89">
        <f>(ROUNDDOWN((Z170-T170)*X!B$8,2))+T170</f>
        <v>10.6</v>
      </c>
      <c r="Y170" s="92">
        <f>(5*((0.001+X!H$3*SQRT(MP5!D$6+U170)*(MP5!D$5+V170))-(0.001+X!H$3*SQRT(MP5!D$6)*(MP5!D$5))))+T170</f>
        <v>14.213347002444074</v>
      </c>
      <c r="Z170" s="89">
        <f>(5*((0.001+X!H$3*SQRT(MP5!E$6+(U170*IF(EXACT("Yes",MP5!H$15),1.1,1)))*(MP5!E$5+(V170*IF(EXACT("Yes",MP5!H$15),1.1,1))))-(0.001+X!H$3*SQRT(MP5!E$6)*(MP5!E$5))))+T170</f>
        <v>16.696699583634953</v>
      </c>
      <c r="AA170" s="81">
        <f t="shared" si="108"/>
        <v>11.166004100733222</v>
      </c>
      <c r="AB170" s="89">
        <f t="shared" si="109"/>
        <v>12.429009875090486</v>
      </c>
      <c r="AC170" s="92">
        <f>F170+(J170*I$3)+(K170*I$4)+(L170*I$5)+(M170*I$6)+IF(EXACT("Y",S170),P170,0)+(IF(EXACT("Human",MP5!H$13),(((IF(EXACT("Y",S170),O170,0)+(J170*K$3)+(K170*K$4)+(L170*K$5)+(M170*K$6)+E170)*1.1)*IF(EXACT("Yes",MP5!H$8),1.05,1)*(0.05*C$5)),((IF(EXACT("Y",S170),O170,0)+(J170*K$3)+(K170*K$4)+(L170*K$5)+(M170*K$6)+E170)*IF(EXACT("Yes",MP5!H$8),1.05,1)*(0.05*C$5))))</f>
        <v>51</v>
      </c>
      <c r="AD170" s="89">
        <f>F170+(J170*I$3)+(K170*I$4)+(L170*I$5)+(M170*I$6)+IF(EXACT("Y",S170),P170,0)+((IF(EXACT("Human",MP5!H$13),(((IF(EXACT("Y",S170),O170,0)+(J170*K$3)+(K170*K$4)+(L170*K$5)+(M170*K$6)+E170)*1.1)*IF(EXACT("Yes",MP5!H$8),1.05,1)*(0.05*C$5)),((IF(EXACT("Y",S170),O170,0)+(J170*K$3)+(K170*K$4)+(L170*K$5)+(M170*K$6)+E170)*IF(EXACT("Yes",MP5!H$8),1.05,1)*(0.05*C$5))))*IF(EXACT("Yes",MP5!H$15),1.1,1))</f>
        <v>51</v>
      </c>
    </row>
    <row r="171" spans="1:30" ht="12.75">
      <c r="A171" s="51">
        <f t="shared" si="103"/>
        <v>0</v>
      </c>
      <c r="B171" s="50"/>
      <c r="C171" s="49"/>
      <c r="D171" s="48"/>
      <c r="E171" s="48"/>
      <c r="F171" s="48"/>
      <c r="G171" s="48"/>
      <c r="H171" s="48"/>
      <c r="I171" s="48"/>
      <c r="J171" s="49"/>
      <c r="K171" s="48"/>
      <c r="L171" s="48"/>
      <c r="M171" s="48"/>
      <c r="N171" s="49"/>
      <c r="O171" s="48"/>
      <c r="P171" s="48"/>
      <c r="Q171" s="48"/>
      <c r="R171" s="47">
        <f t="shared" si="88"/>
        <v>0</v>
      </c>
      <c r="S171" s="51" t="str">
        <f t="shared" si="104"/>
        <v>N</v>
      </c>
      <c r="T171" s="52">
        <f t="shared" si="105"/>
        <v>0</v>
      </c>
      <c r="U171" s="51">
        <f t="shared" si="106"/>
        <v>0</v>
      </c>
      <c r="V171" s="51">
        <f t="shared" si="107"/>
        <v>0</v>
      </c>
      <c r="W171" s="92">
        <f>(ROUNDDOWN((Y171-T171)*X!B$8,2))+T171</f>
        <v>0</v>
      </c>
      <c r="X171" s="89">
        <f>(ROUNDDOWN((Z171-T171)*X!B$8,2))+T171</f>
        <v>0</v>
      </c>
      <c r="Y171" s="92">
        <f>(5*((0.001+X!H$3*SQRT(MP5!D$6+U171)*(MP5!D$5+V171))-(0.001+X!H$3*SQRT(MP5!D$6)*(MP5!D$5))))+T171</f>
        <v>0</v>
      </c>
      <c r="Z171" s="89">
        <f>(5*((0.001+X!H$3*SQRT(MP5!E$6+(U171*IF(EXACT("Yes",MP5!H$15),1.1,1)))*(MP5!E$5+(V171*IF(EXACT("Yes",MP5!H$15),1.1,1))))-(0.001+X!H$3*SQRT(MP5!E$6)*(MP5!E$5))))+T171</f>
        <v>0</v>
      </c>
      <c r="AA171" s="81">
        <f t="shared" si="108"/>
        <v>0</v>
      </c>
      <c r="AB171" s="89">
        <f t="shared" si="109"/>
        <v>0</v>
      </c>
      <c r="AC171" s="92">
        <f>F171+(J171*I$3)+(K171*I$4)+(L171*I$5)+(M171*I$6)+IF(EXACT("Y",S171),P171,0)+(IF(EXACT("Human",MP5!H$13),(((IF(EXACT("Y",S171),O171,0)+(J171*K$3)+(K171*K$4)+(L171*K$5)+(M171*K$6)+E171)*1.1)*IF(EXACT("Yes",MP5!H$8),1.05,1)*(0.05*C$5)),((IF(EXACT("Y",S171),O171,0)+(J171*K$3)+(K171*K$4)+(L171*K$5)+(M171*K$6)+E171)*IF(EXACT("Yes",MP5!H$8),1.05,1)*(0.05*C$5))))</f>
        <v>0</v>
      </c>
      <c r="AD171" s="89">
        <f>F171+(J171*I$3)+(K171*I$4)+(L171*I$5)+(M171*I$6)+IF(EXACT("Y",S171),P171,0)+((IF(EXACT("Human",MP5!H$13),(((IF(EXACT("Y",S171),O171,0)+(J171*K$3)+(K171*K$4)+(L171*K$5)+(M171*K$6)+E171)*1.1)*IF(EXACT("Yes",MP5!H$8),1.05,1)*(0.05*C$5)),((IF(EXACT("Y",S171),O171,0)+(J171*K$3)+(K171*K$4)+(L171*K$5)+(M171*K$6)+E171)*IF(EXACT("Yes",MP5!H$8),1.05,1)*(0.05*C$5))))*IF(EXACT("Yes",MP5!H$15),1.1,1))</f>
        <v>0</v>
      </c>
    </row>
    <row r="172" spans="1:30" ht="12.75">
      <c r="A172" s="51">
        <f t="shared" si="103"/>
        <v>0</v>
      </c>
      <c r="B172" s="50"/>
      <c r="C172" s="49"/>
      <c r="D172" s="48"/>
      <c r="E172" s="48"/>
      <c r="F172" s="48"/>
      <c r="G172" s="48"/>
      <c r="H172" s="48"/>
      <c r="I172" s="48"/>
      <c r="J172" s="49"/>
      <c r="K172" s="48"/>
      <c r="L172" s="48"/>
      <c r="M172" s="48"/>
      <c r="N172" s="49"/>
      <c r="O172" s="48"/>
      <c r="P172" s="48"/>
      <c r="Q172" s="48"/>
      <c r="R172" s="47">
        <f t="shared" si="88"/>
        <v>0</v>
      </c>
      <c r="S172" s="51" t="str">
        <f t="shared" si="104"/>
        <v>N</v>
      </c>
      <c r="T172" s="52">
        <f t="shared" si="105"/>
        <v>0</v>
      </c>
      <c r="U172" s="51">
        <f t="shared" si="106"/>
        <v>0</v>
      </c>
      <c r="V172" s="51">
        <f t="shared" si="107"/>
        <v>0</v>
      </c>
      <c r="W172" s="92">
        <f>(ROUNDDOWN((Y172-T172)*X!B$8,2))+T172</f>
        <v>0</v>
      </c>
      <c r="X172" s="89">
        <f>(ROUNDDOWN((Z172-T172)*X!B$8,2))+T172</f>
        <v>0</v>
      </c>
      <c r="Y172" s="92">
        <f>(5*((0.001+X!H$3*SQRT(MP5!D$6+U172)*(MP5!D$5+V172))-(0.001+X!H$3*SQRT(MP5!D$6)*(MP5!D$5))))+T172</f>
        <v>0</v>
      </c>
      <c r="Z172" s="89">
        <f>(5*((0.001+X!H$3*SQRT(MP5!E$6+(U172*IF(EXACT("Yes",MP5!H$15),1.1,1)))*(MP5!E$5+(V172*IF(EXACT("Yes",MP5!H$15),1.1,1))))-(0.001+X!H$3*SQRT(MP5!E$6)*(MP5!E$5))))+T172</f>
        <v>0</v>
      </c>
      <c r="AA172" s="81">
        <f t="shared" si="108"/>
        <v>0</v>
      </c>
      <c r="AB172" s="89">
        <f t="shared" si="109"/>
        <v>0</v>
      </c>
      <c r="AC172" s="92">
        <f>F172+(J172*I$3)+(K172*I$4)+(L172*I$5)+(M172*I$6)+IF(EXACT("Y",S172),P172,0)+(IF(EXACT("Human",MP5!H$13),(((IF(EXACT("Y",S172),O172,0)+(J172*K$3)+(K172*K$4)+(L172*K$5)+(M172*K$6)+E172)*1.1)*IF(EXACT("Yes",MP5!H$8),1.05,1)*(0.05*C$5)),((IF(EXACT("Y",S172),O172,0)+(J172*K$3)+(K172*K$4)+(L172*K$5)+(M172*K$6)+E172)*IF(EXACT("Yes",MP5!H$8),1.05,1)*(0.05*C$5))))</f>
        <v>0</v>
      </c>
      <c r="AD172" s="89">
        <f>F172+(J172*I$3)+(K172*I$4)+(L172*I$5)+(M172*I$6)+IF(EXACT("Y",S172),P172,0)+((IF(EXACT("Human",MP5!H$13),(((IF(EXACT("Y",S172),O172,0)+(J172*K$3)+(K172*K$4)+(L172*K$5)+(M172*K$6)+E172)*1.1)*IF(EXACT("Yes",MP5!H$8),1.05,1)*(0.05*C$5)),((IF(EXACT("Y",S172),O172,0)+(J172*K$3)+(K172*K$4)+(L172*K$5)+(M172*K$6)+E172)*IF(EXACT("Yes",MP5!H$8),1.05,1)*(0.05*C$5))))*IF(EXACT("Yes",MP5!H$15),1.1,1))</f>
        <v>0</v>
      </c>
    </row>
    <row r="173" spans="1:30" ht="12.75">
      <c r="A173" s="59" t="s">
        <v>77</v>
      </c>
      <c r="B173" s="63" t="s">
        <v>76</v>
      </c>
      <c r="C173" s="62" t="s">
        <v>75</v>
      </c>
      <c r="D173" s="60" t="s">
        <v>68</v>
      </c>
      <c r="E173" s="60" t="s">
        <v>67</v>
      </c>
      <c r="F173" s="60" t="s">
        <v>66</v>
      </c>
      <c r="G173" s="60" t="s">
        <v>74</v>
      </c>
      <c r="H173" s="60" t="s">
        <v>65</v>
      </c>
      <c r="I173" s="60" t="s">
        <v>73</v>
      </c>
      <c r="J173" s="61" t="s">
        <v>72</v>
      </c>
      <c r="K173" s="59" t="s">
        <v>71</v>
      </c>
      <c r="L173" s="59" t="s">
        <v>70</v>
      </c>
      <c r="M173" s="59" t="s">
        <v>69</v>
      </c>
      <c r="N173" s="61" t="s">
        <v>68</v>
      </c>
      <c r="O173" s="59" t="s">
        <v>67</v>
      </c>
      <c r="P173" s="60" t="s">
        <v>66</v>
      </c>
      <c r="Q173" s="59" t="s">
        <v>65</v>
      </c>
      <c r="R173" s="47">
        <f aca="true" t="shared" si="110" ref="R173:R178">IF(AND(J173&gt;=1,L$3="Y",L$3="y"),1,0)+IF(AND(K173&gt;=1,L$4="Y",L$4="y"),1,0)+IF(AND(L173&gt;=1,L$5="Y",L$5="y"),1,0)+IF(AND(J173&gt;=1,L$3&lt;&gt;"Y",L$3&lt;&gt;"y"),-3,0)+IF(AND(K173&gt;=1,L$4&lt;&gt;"Y",L$4&lt;&gt;"y"),-3,0)+IF(AND(L173&gt;=1,L$5&lt;&gt;"Y",L$5&lt;&gt;"y"),-3,0)</f>
        <v>3</v>
      </c>
      <c r="S173" s="59" t="s">
        <v>64</v>
      </c>
      <c r="T173" s="61" t="s">
        <v>65</v>
      </c>
      <c r="U173" s="59" t="s">
        <v>68</v>
      </c>
      <c r="V173" s="59" t="s">
        <v>67</v>
      </c>
      <c r="W173" s="90" t="s">
        <v>1</v>
      </c>
      <c r="X173" s="91" t="s">
        <v>2</v>
      </c>
      <c r="Y173" s="90" t="s">
        <v>1</v>
      </c>
      <c r="Z173" s="91" t="s">
        <v>2</v>
      </c>
      <c r="AA173" s="59" t="s">
        <v>1</v>
      </c>
      <c r="AB173" s="59" t="s">
        <v>2</v>
      </c>
      <c r="AC173" s="90" t="s">
        <v>1</v>
      </c>
      <c r="AD173" s="91" t="s">
        <v>2</v>
      </c>
    </row>
    <row r="174" spans="1:30" ht="12.75">
      <c r="A174" s="51">
        <f>C174*W$6+D174*Z$3+E174*Y$3+F174*X$3+H174*W$3+J174*X$6+K174*Z$6+L174*Y$6+G174*W$9+I174*AH192+M174*Z$9+(IF(S174="Y",((P174*X$3)+(Q174*W$3)+(O174*Y$3)+(N174*Z$3)),0))</f>
        <v>93.2</v>
      </c>
      <c r="B174" s="58" t="s">
        <v>63</v>
      </c>
      <c r="C174" s="57"/>
      <c r="D174" s="56">
        <v>8</v>
      </c>
      <c r="E174" s="56"/>
      <c r="F174" s="56">
        <v>42</v>
      </c>
      <c r="G174" s="56">
        <v>18</v>
      </c>
      <c r="H174" s="54">
        <v>3</v>
      </c>
      <c r="I174" s="54"/>
      <c r="J174" s="55"/>
      <c r="K174" s="54"/>
      <c r="L174" s="54">
        <v>1</v>
      </c>
      <c r="M174" s="54"/>
      <c r="N174" s="55"/>
      <c r="O174" s="54"/>
      <c r="P174" s="54"/>
      <c r="Q174" s="54">
        <v>1</v>
      </c>
      <c r="R174" s="47">
        <f t="shared" si="110"/>
        <v>1</v>
      </c>
      <c r="S174" s="51" t="str">
        <f>IF(R174&gt;0,"Y","N")</f>
        <v>Y</v>
      </c>
      <c r="T174" s="52">
        <f>H174+(J174*H$3)+(K174*H$4)+(L174*H$5)+(M174*H$6)+IF(EXACT("Y",S174),Q174,0)</f>
        <v>4</v>
      </c>
      <c r="U174" s="51">
        <f>(D174+(J174*J$3)+(K174*J$4)+(L174*J$5)+(M174*J$6)+IF(EXACT("Y",S174),N174,0))*(1+C$6)</f>
        <v>8</v>
      </c>
      <c r="V174" s="51">
        <f>((((E174+(J174*K$3)+(K174*K$4)+(L174*K$5)+(M174*K$6)+IF(EXACT("Y",S174),O174,0))*IF(EXACT("Yes",C$3),1.1,1))*IF(EXACT("Yes",C$4),1.05,1)))*(1+C$6)</f>
        <v>0</v>
      </c>
      <c r="W174" s="92">
        <f>(ROUNDDOWN((Y174-T174)*X!B$8,2))+T174</f>
        <v>4.68</v>
      </c>
      <c r="X174" s="89">
        <f>(ROUNDDOWN((Z174-T174)*X!B$8,2))+T174</f>
        <v>4.95</v>
      </c>
      <c r="Y174" s="92">
        <f>(5*((0.001+X!H$3*SQRT(MP5!D$6+U174)*(MP5!D$5+V174))-(0.001+X!H$3*SQRT(MP5!D$6)*(MP5!D$5))))+T174</f>
        <v>6.275722287618933</v>
      </c>
      <c r="Z174" s="89">
        <f>(5*((0.001+X!H$3*SQRT(MP5!E$6+(U174*IF(EXACT("Yes",MP5!H$15),1.1,1)))*(MP5!E$5+(V174*IF(EXACT("Yes",MP5!H$15),1.1,1))))-(0.001+X!H$3*SQRT(MP5!E$6)*(MP5!E$5))))+T174</f>
        <v>7.18354099566676</v>
      </c>
      <c r="AA174" s="81">
        <f>((Y174-W174)*(1-C$7))+W174</f>
        <v>5.15871668628568</v>
      </c>
      <c r="AB174" s="89">
        <f>((Z174-X174)*(1-C$7))+X174</f>
        <v>5.620062298700028</v>
      </c>
      <c r="AC174" s="92">
        <f>F174+(J174*I$3)+(K174*I$4)+(L174*I$5)+(M174*I$6)+IF(EXACT("Y",S174),P174,0)+(IF(EXACT("Human",MP5!H$13),(((IF(EXACT("Y",S174),O174,0)+(J174*K$3)+(K174*K$4)+(L174*K$5)+(M174*K$6)+E174)*1.1)*IF(EXACT("Yes",MP5!H$8),1.05,1)*(0.05*C$5)),((IF(EXACT("Y",S174),O174,0)+(J174*K$3)+(K174*K$4)+(L174*K$5)+(M174*K$6)+E174)*IF(EXACT("Yes",MP5!H$8),1.05,1)*(0.05*C$5))))</f>
        <v>64</v>
      </c>
      <c r="AD174" s="89">
        <f>F174+(J174*I$3)+(K174*I$4)+(L174*I$5)+(M174*I$6)+IF(EXACT("Y",S174),P174,0)+((IF(EXACT("Human",MP5!H$13),(((IF(EXACT("Y",S174),O174,0)+(J174*K$3)+(K174*K$4)+(L174*K$5)+(M174*K$6)+E174)*1.1)*IF(EXACT("Yes",MP5!H$8),1.05,1)*(0.05*C$5)),((IF(EXACT("Y",S174),O174,0)+(J174*K$3)+(K174*K$4)+(L174*K$5)+(M174*K$6)+E174)*IF(EXACT("Yes",MP5!H$8),1.05,1)*(0.05*C$5))))*IF(EXACT("Yes",MP5!H$15),1.1,1))</f>
        <v>64</v>
      </c>
    </row>
    <row r="175" spans="1:30" ht="12.75">
      <c r="A175" s="51">
        <f>C175*W$6+D175*Z$3+E175*Y$3+F175*X$3+H175*W$3+J175*X$6+K175*Z$6+L175*Y$6+G175*W$9+I175*AH193+M175*Z$9+(IF(S175="Y",((P175*X$3)+(Q175*W$3)+(O175*Y$3)+(N175*Z$3)),0))</f>
        <v>75.8</v>
      </c>
      <c r="B175" s="53" t="s">
        <v>62</v>
      </c>
      <c r="C175" s="52">
        <v>12</v>
      </c>
      <c r="D175" s="51">
        <v>12</v>
      </c>
      <c r="E175" s="51">
        <v>16</v>
      </c>
      <c r="F175" s="51">
        <v>37</v>
      </c>
      <c r="G175" s="51"/>
      <c r="H175" s="51"/>
      <c r="I175" s="51"/>
      <c r="J175" s="52"/>
      <c r="K175" s="51"/>
      <c r="L175" s="51"/>
      <c r="M175" s="51"/>
      <c r="N175" s="52"/>
      <c r="O175" s="51"/>
      <c r="P175" s="51"/>
      <c r="Q175" s="51"/>
      <c r="R175" s="47">
        <f t="shared" si="110"/>
        <v>0</v>
      </c>
      <c r="S175" s="51" t="str">
        <f>IF(R175&gt;0,"Y","N")</f>
        <v>N</v>
      </c>
      <c r="T175" s="52">
        <f>H175+(J175*H$3)+(K175*H$4)+(L175*H$5)+(M175*H$6)+IF(EXACT("Y",S175),Q175,0)</f>
        <v>0</v>
      </c>
      <c r="U175" s="51">
        <f>(D175+(J175*J$3)+(K175*J$4)+(L175*J$5)+(M175*J$6)+IF(EXACT("Y",S175),N175,0))*(1+C$6)</f>
        <v>12</v>
      </c>
      <c r="V175" s="51">
        <f>((((E175+(J175*K$3)+(K175*K$4)+(L175*K$5)+(M175*K$6)+IF(EXACT("Y",S175),O175,0))*IF(EXACT("Yes",C$3),1.1,1))*IF(EXACT("Yes",C$4),1.05,1)))*(1+C$6)</f>
        <v>18.480000000000004</v>
      </c>
      <c r="W175" s="92">
        <f>(ROUNDDOWN((Y175-T175)*X!B$8,2))+T175</f>
        <v>6.72</v>
      </c>
      <c r="X175" s="89">
        <f>(ROUNDDOWN((Z175-T175)*X!B$8,2))+T175</f>
        <v>8.27</v>
      </c>
      <c r="Y175" s="92">
        <f>(5*((0.001+X!H$3*SQRT(MP5!D$6+U175)*(MP5!D$5+V175))-(0.001+X!H$3*SQRT(MP5!D$6)*(MP5!D$5))))+T175</f>
        <v>22.425110685049816</v>
      </c>
      <c r="Z175" s="89">
        <f>(5*((0.001+X!H$3*SQRT(MP5!E$6+(U175*IF(EXACT("Yes",MP5!H$15),1.1,1)))*(MP5!E$5+(V175*IF(EXACT("Yes",MP5!H$15),1.1,1))))-(0.001+X!H$3*SQRT(MP5!E$6)*(MP5!E$5))))+T175</f>
        <v>27.59104910185144</v>
      </c>
      <c r="AA175" s="81">
        <f>((Y175-W175)*(1-C$7))+W175</f>
        <v>11.431533205514945</v>
      </c>
      <c r="AB175" s="89">
        <f>((Z175-X175)*(1-C$7))+X175</f>
        <v>14.066314730555433</v>
      </c>
      <c r="AC175" s="92">
        <f>F175+(J175*I$3)+(K175*I$4)+(L175*I$5)+(M175*I$6)+IF(EXACT("Y",S175),P175,0)+(IF(EXACT("Human",MP5!H$13),(((IF(EXACT("Y",S175),O175,0)+(J175*K$3)+(K175*K$4)+(L175*K$5)+(M175*K$6)+E175)*1.1)*IF(EXACT("Yes",MP5!H$8),1.05,1)*(0.05*C$5)),((IF(EXACT("Y",S175),O175,0)+(J175*K$3)+(K175*K$4)+(L175*K$5)+(M175*K$6)+E175)*IF(EXACT("Yes",MP5!H$8),1.05,1)*(0.05*C$5))))</f>
        <v>41</v>
      </c>
      <c r="AD175" s="89">
        <f>F175+(J175*I$3)+(K175*I$4)+(L175*I$5)+(M175*I$6)+IF(EXACT("Y",S175),P175,0)+((IF(EXACT("Human",MP5!H$13),(((IF(EXACT("Y",S175),O175,0)+(J175*K$3)+(K175*K$4)+(L175*K$5)+(M175*K$6)+E175)*1.1)*IF(EXACT("Yes",MP5!H$8),1.05,1)*(0.05*C$5)),((IF(EXACT("Y",S175),O175,0)+(J175*K$3)+(K175*K$4)+(L175*K$5)+(M175*K$6)+E175)*IF(EXACT("Yes",MP5!H$8),1.05,1)*(0.05*C$5))))*IF(EXACT("Yes",MP5!H$15),1.1,1))</f>
        <v>41.4</v>
      </c>
    </row>
    <row r="176" spans="1:30" ht="12.75">
      <c r="A176" s="51">
        <f>C176*W$6+D176*Z$3+E176*Y$3+F176*X$3+H176*W$3+J176*X$6+K176*Z$6+L176*Y$6+G176*W$9+I176*AH194+M176*Z$9+(IF(S176="Y",((P176*X$3)+(Q176*W$3)+(O176*Y$3)+(N176*Z$3)),0))</f>
        <v>58.8</v>
      </c>
      <c r="B176" s="53" t="s">
        <v>61</v>
      </c>
      <c r="C176" s="52"/>
      <c r="D176" s="51">
        <v>14</v>
      </c>
      <c r="E176" s="51"/>
      <c r="F176" s="51">
        <v>35</v>
      </c>
      <c r="G176" s="51"/>
      <c r="H176" s="51">
        <v>6</v>
      </c>
      <c r="I176" s="51"/>
      <c r="J176" s="52"/>
      <c r="K176" s="51"/>
      <c r="L176" s="51"/>
      <c r="M176" s="51"/>
      <c r="N176" s="52"/>
      <c r="O176" s="51"/>
      <c r="P176" s="51"/>
      <c r="Q176" s="51"/>
      <c r="R176" s="47">
        <f t="shared" si="110"/>
        <v>0</v>
      </c>
      <c r="S176" s="51" t="str">
        <f>IF(R176&gt;0,"Y","N")</f>
        <v>N</v>
      </c>
      <c r="T176" s="52">
        <f>H176+(J176*H$3)+(K176*H$4)+(L176*H$5)+(M176*H$6)+IF(EXACT("Y",S176),Q176,0)</f>
        <v>6</v>
      </c>
      <c r="U176" s="51">
        <f>(D176+(J176*J$3)+(K176*J$4)+(L176*J$5)+(M176*J$6)+IF(EXACT("Y",S176),N176,0))*(1+C$6)</f>
        <v>14</v>
      </c>
      <c r="V176" s="51">
        <f>((((E176+(J176*K$3)+(K176*K$4)+(L176*K$5)+(M176*K$6)+IF(EXACT("Y",S176),O176,0))*IF(EXACT("Yes",C$3),1.1,1))*IF(EXACT("Yes",C$4),1.05,1)))*(1+C$6)</f>
        <v>0</v>
      </c>
      <c r="W176" s="92">
        <f>(ROUNDDOWN((Y176-T176)*X!B$8,2))+T176</f>
        <v>7.1899999999999995</v>
      </c>
      <c r="X176" s="89">
        <f>(ROUNDDOWN((Z176-T176)*X!B$8,2))+T176</f>
        <v>7.66</v>
      </c>
      <c r="Y176" s="92">
        <f>(5*((0.001+X!H$3*SQRT(MP5!D$6+U176)*(MP5!D$5+V176))-(0.001+X!H$3*SQRT(MP5!D$6)*(MP5!D$5))))+T176</f>
        <v>9.970171011657833</v>
      </c>
      <c r="Z176" s="89">
        <f>(5*((0.001+X!H$3*SQRT(MP5!E$6+(U176*IF(EXACT("Yes",MP5!H$15),1.1,1)))*(MP5!E$5+(V176*IF(EXACT("Yes",MP5!H$15),1.1,1))))-(0.001+X!H$3*SQRT(MP5!E$6)*(MP5!E$5))))+T176</f>
        <v>11.555248120604759</v>
      </c>
      <c r="AA176" s="81">
        <f>((Y176-W176)*(1-C$7))+W176</f>
        <v>8.02405130349735</v>
      </c>
      <c r="AB176" s="89">
        <f>((Z176-X176)*(1-C$7))+X176</f>
        <v>8.828574436181428</v>
      </c>
      <c r="AC176" s="92">
        <f>F176+(J176*I$3)+(K176*I$4)+(L176*I$5)+(M176*I$6)+IF(EXACT("Y",S176),P176,0)+(IF(EXACT("Human",MP5!H$13),(((IF(EXACT("Y",S176),O176,0)+(J176*K$3)+(K176*K$4)+(L176*K$5)+(M176*K$6)+E176)*1.1)*IF(EXACT("Yes",MP5!H$8),1.05,1)*(0.05*C$5)),((IF(EXACT("Y",S176),O176,0)+(J176*K$3)+(K176*K$4)+(L176*K$5)+(M176*K$6)+E176)*IF(EXACT("Yes",MP5!H$8),1.05,1)*(0.05*C$5))))</f>
        <v>35</v>
      </c>
      <c r="AD176" s="89">
        <f>F176+(J176*I$3)+(K176*I$4)+(L176*I$5)+(M176*I$6)+IF(EXACT("Y",S176),P176,0)+((IF(EXACT("Human",MP5!H$13),(((IF(EXACT("Y",S176),O176,0)+(J176*K$3)+(K176*K$4)+(L176*K$5)+(M176*K$6)+E176)*1.1)*IF(EXACT("Yes",MP5!H$8),1.05,1)*(0.05*C$5)),((IF(EXACT("Y",S176),O176,0)+(J176*K$3)+(K176*K$4)+(L176*K$5)+(M176*K$6)+E176)*IF(EXACT("Yes",MP5!H$8),1.05,1)*(0.05*C$5))))*IF(EXACT("Yes",MP5!H$15),1.1,1))</f>
        <v>35</v>
      </c>
    </row>
    <row r="177" spans="1:30" ht="12.75">
      <c r="A177" s="51">
        <f>C177*W$6+D177*Z$3+E177*Y$3+F177*X$3+H177*W$3+J177*X$6+K177*Z$6+L177*Y$6+G177*W$9+I177*AH195+M177*Z$9+(IF(S177="Y",((P177*X$3)+(Q177*W$3)+(O177*Y$3)+(N177*Z$3)),0))</f>
        <v>0</v>
      </c>
      <c r="B177" s="50"/>
      <c r="C177" s="49"/>
      <c r="D177" s="48"/>
      <c r="E177" s="48"/>
      <c r="F177" s="48"/>
      <c r="G177" s="48"/>
      <c r="H177" s="48"/>
      <c r="I177" s="48"/>
      <c r="J177" s="49"/>
      <c r="K177" s="48"/>
      <c r="L177" s="48"/>
      <c r="M177" s="48"/>
      <c r="N177" s="49"/>
      <c r="O177" s="48"/>
      <c r="P177" s="48"/>
      <c r="Q177" s="48"/>
      <c r="R177" s="47">
        <f t="shared" si="110"/>
        <v>0</v>
      </c>
      <c r="S177" s="51" t="str">
        <f>IF(R177&gt;0,"Y","N")</f>
        <v>N</v>
      </c>
      <c r="T177" s="52">
        <f>H177+(J177*H$3)+(K177*H$4)+(L177*H$5)+(M177*H$6)+IF(EXACT("Y",S177),Q177,0)</f>
        <v>0</v>
      </c>
      <c r="U177" s="51">
        <f>(D177+(J177*J$3)+(K177*J$4)+(L177*J$5)+(M177*J$6)+IF(EXACT("Y",S177),N177,0))*(1+C$6)</f>
        <v>0</v>
      </c>
      <c r="V177" s="51">
        <f>((((E177+(J177*K$3)+(K177*K$4)+(L177*K$5)+(M177*K$6)+IF(EXACT("Y",S177),O177,0))*IF(EXACT("Yes",C$3),1.1,1))*IF(EXACT("Yes",C$4),1.05,1)))*(1+C$6)</f>
        <v>0</v>
      </c>
      <c r="W177" s="92">
        <f>(ROUNDDOWN((Y177-T177)*X!B$8,2))+T177</f>
        <v>0</v>
      </c>
      <c r="X177" s="89">
        <f>(ROUNDDOWN((Z177-T177)*X!B$8,2))+T177</f>
        <v>0</v>
      </c>
      <c r="Y177" s="92">
        <f>(5*((0.001+X!H$3*SQRT(MP5!D$6+U177)*(MP5!D$5+V177))-(0.001+X!H$3*SQRT(MP5!D$6)*(MP5!D$5))))+T177</f>
        <v>0</v>
      </c>
      <c r="Z177" s="89">
        <f>(5*((0.001+X!H$3*SQRT(MP5!E$6+(U177*IF(EXACT("Yes",MP5!H$15),1.1,1)))*(MP5!E$5+(V177*IF(EXACT("Yes",MP5!H$15),1.1,1))))-(0.001+X!H$3*SQRT(MP5!E$6)*(MP5!E$5))))+T177</f>
        <v>0</v>
      </c>
      <c r="AA177" s="81">
        <f>((Y177-W177)*(1-C$7))+W177</f>
        <v>0</v>
      </c>
      <c r="AB177" s="89">
        <f>((Z177-X177)*(1-C$7))+X177</f>
        <v>0</v>
      </c>
      <c r="AC177" s="92">
        <f>F177+(J177*I$3)+(K177*I$4)+(L177*I$5)+(M177*I$6)+IF(EXACT("Y",S177),P177,0)+(IF(EXACT("Human",MP5!H$13),(((IF(EXACT("Y",S177),O177,0)+(J177*K$3)+(K177*K$4)+(L177*K$5)+(M177*K$6)+E177)*1.1)*IF(EXACT("Yes",MP5!H$8),1.05,1)*(0.05*C$5)),((IF(EXACT("Y",S177),O177,0)+(J177*K$3)+(K177*K$4)+(L177*K$5)+(M177*K$6)+E177)*IF(EXACT("Yes",MP5!H$8),1.05,1)*(0.05*C$5))))</f>
        <v>0</v>
      </c>
      <c r="AD177" s="89">
        <f>F177+(J177*I$3)+(K177*I$4)+(L177*I$5)+(M177*I$6)+IF(EXACT("Y",S177),P177,0)+((IF(EXACT("Human",MP5!H$13),(((IF(EXACT("Y",S177),O177,0)+(J177*K$3)+(K177*K$4)+(L177*K$5)+(M177*K$6)+E177)*1.1)*IF(EXACT("Yes",MP5!H$8),1.05,1)*(0.05*C$5)),((IF(EXACT("Y",S177),O177,0)+(J177*K$3)+(K177*K$4)+(L177*K$5)+(M177*K$6)+E177)*IF(EXACT("Yes",MP5!H$8),1.05,1)*(0.05*C$5))))*IF(EXACT("Yes",MP5!H$15),1.1,1))</f>
        <v>0</v>
      </c>
    </row>
    <row r="178" spans="1:30" ht="12.75">
      <c r="A178" s="51">
        <f>C178*W$6+D178*Z$3+E178*Y$3+F178*X$3+H178*W$3+J178*X$6+K178*Z$6+L178*Y$6+G178*W$9+I178*AH196+M178*Z$9+(IF(S178="Y",((P178*X$3)+(Q178*W$3)+(O178*Y$3)+(N178*Z$3)),0))</f>
        <v>0</v>
      </c>
      <c r="B178" s="50"/>
      <c r="C178" s="49"/>
      <c r="D178" s="48"/>
      <c r="E178" s="48"/>
      <c r="F178" s="48"/>
      <c r="G178" s="48"/>
      <c r="H178" s="48"/>
      <c r="I178" s="48"/>
      <c r="J178" s="49"/>
      <c r="K178" s="48"/>
      <c r="L178" s="48"/>
      <c r="M178" s="48"/>
      <c r="N178" s="49"/>
      <c r="O178" s="48"/>
      <c r="P178" s="48"/>
      <c r="Q178" s="48"/>
      <c r="R178" s="47">
        <f t="shared" si="110"/>
        <v>0</v>
      </c>
      <c r="S178" s="51" t="str">
        <f>IF(R178&gt;0,"Y","N")</f>
        <v>N</v>
      </c>
      <c r="T178" s="52">
        <f>H178+(J178*H$3)+(K178*H$4)+(L178*H$5)+(M178*H$6)+IF(EXACT("Y",S178),Q178,0)</f>
        <v>0</v>
      </c>
      <c r="U178" s="51">
        <f>(D178+(J178*J$3)+(K178*J$4)+(L178*J$5)+(M178*J$6)+IF(EXACT("Y",S178),N178,0))*(1+C$6)</f>
        <v>0</v>
      </c>
      <c r="V178" s="51">
        <f>((((E178+(J178*K$3)+(K178*K$4)+(L178*K$5)+(M178*K$6)+IF(EXACT("Y",S178),O178,0))*IF(EXACT("Yes",C$3),1.1,1))*IF(EXACT("Yes",C$4),1.05,1)))*(1+C$6)</f>
        <v>0</v>
      </c>
      <c r="W178" s="92">
        <f>(ROUNDDOWN((Y178-T178)*X!B$8,2))+T178</f>
        <v>0</v>
      </c>
      <c r="X178" s="89">
        <f>(ROUNDDOWN((Z178-T178)*X!B$8,2))+T178</f>
        <v>0</v>
      </c>
      <c r="Y178" s="92">
        <f>(5*((0.001+X!H$3*SQRT(MP5!D$6+U178)*(MP5!D$5+V178))-(0.001+X!H$3*SQRT(MP5!D$6)*(MP5!D$5))))+T178</f>
        <v>0</v>
      </c>
      <c r="Z178" s="89">
        <f>(5*((0.001+X!H$3*SQRT(MP5!E$6+(U178*IF(EXACT("Yes",MP5!H$15),1.1,1)))*(MP5!E$5+(V178*IF(EXACT("Yes",MP5!H$15),1.1,1))))-(0.001+X!H$3*SQRT(MP5!E$6)*(MP5!E$5))))+T178</f>
        <v>0</v>
      </c>
      <c r="AA178" s="81">
        <f>((Y178-W178)*(1-C$7))+W178</f>
        <v>0</v>
      </c>
      <c r="AB178" s="89">
        <f>((Z178-X178)*(1-C$7))+X178</f>
        <v>0</v>
      </c>
      <c r="AC178" s="92">
        <f>F178+(J178*I$3)+(K178*I$4)+(L178*I$5)+(M178*I$6)+IF(EXACT("Y",S178),P178,0)+(IF(EXACT("Human",MP5!H$13),(((IF(EXACT("Y",S178),O178,0)+(J178*K$3)+(K178*K$4)+(L178*K$5)+(M178*K$6)+E178)*1.1)*IF(EXACT("Yes",MP5!H$8),1.05,1)*(0.05*C$5)),((IF(EXACT("Y",S178),O178,0)+(J178*K$3)+(K178*K$4)+(L178*K$5)+(M178*K$6)+E178)*IF(EXACT("Yes",MP5!H$8),1.05,1)*(0.05*C$5))))</f>
        <v>0</v>
      </c>
      <c r="AD178" s="89">
        <f>F178+(J178*I$3)+(K178*I$4)+(L178*I$5)+(M178*I$6)+IF(EXACT("Y",S178),P178,0)+((IF(EXACT("Human",MP5!H$13),(((IF(EXACT("Y",S178),O178,0)+(J178*K$3)+(K178*K$4)+(L178*K$5)+(M178*K$6)+E178)*1.1)*IF(EXACT("Yes",MP5!H$8),1.05,1)*(0.05*C$5)),((IF(EXACT("Y",S178),O178,0)+(J178*K$3)+(K178*K$4)+(L178*K$5)+(M178*K$6)+E178)*IF(EXACT("Yes",MP5!H$8),1.05,1)*(0.05*C$5))))*IF(EXACT("Yes",MP5!H$15),1.1,1))</f>
        <v>0</v>
      </c>
    </row>
  </sheetData>
  <mergeCells count="17">
    <mergeCell ref="Y10:Z10"/>
    <mergeCell ref="AC10:AD10"/>
    <mergeCell ref="AA10:AB10"/>
    <mergeCell ref="J10:M10"/>
    <mergeCell ref="C10:I10"/>
    <mergeCell ref="N10:S10"/>
    <mergeCell ref="W10:X10"/>
    <mergeCell ref="T10:V10"/>
    <mergeCell ref="C7:D7"/>
    <mergeCell ref="C5:D5"/>
    <mergeCell ref="C4:D4"/>
    <mergeCell ref="C3:D3"/>
    <mergeCell ref="E1:L1"/>
    <mergeCell ref="M1:Z1"/>
    <mergeCell ref="A1:D1"/>
    <mergeCell ref="C6:D6"/>
    <mergeCell ref="E6:G6"/>
  </mergeCells>
  <dataValidations count="3">
    <dataValidation type="list" allowBlank="1" showErrorMessage="1" sqref="C6">
      <formula1>"0%, 1%, 2%, 3%, 4%, 5%"</formula1>
    </dataValidation>
    <dataValidation type="list" allowBlank="1" showInputMessage="1" showErrorMessage="1" sqref="C3:C4">
      <formula1>"Yes, No"</formula1>
    </dataValidation>
    <dataValidation type="list" allowBlank="1" showInputMessage="1" showErrorMessage="1" sqref="C5:D5">
      <formula1>"0, 1, 2, 3, 4, 5"</formula1>
    </dataValidation>
  </dataValidations>
  <printOptions/>
  <pageMargins left="0.75" right="0.75" top="1" bottom="1" header="0.5" footer="0.5"/>
  <pageSetup horizontalDpi="600" verticalDpi="600" orientation="portrait" r:id="rId1"/>
  <ignoredErrors>
    <ignoredError sqref="O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4" sqref="A14"/>
    </sheetView>
  </sheetViews>
  <sheetFormatPr defaultColWidth="11.421875" defaultRowHeight="12.75"/>
  <cols>
    <col min="1" max="1" width="26.140625" style="0" customWidth="1"/>
    <col min="2" max="16384" width="11.57421875" style="0" customWidth="1"/>
  </cols>
  <sheetData>
    <row r="1" spans="2:8" ht="12.75">
      <c r="B1" s="29"/>
      <c r="C1" s="29"/>
      <c r="D1" s="29"/>
      <c r="E1" s="29"/>
      <c r="G1" t="s">
        <v>36</v>
      </c>
      <c r="H1" t="s">
        <v>37</v>
      </c>
    </row>
    <row r="2" spans="1:5" ht="12.75">
      <c r="A2" t="s">
        <v>35</v>
      </c>
      <c r="B2" s="29">
        <f>(0.001+(MP5!D5)*H3*(MP5!D6^0.5))*5*B8-((MP5!D5/C7)+B7)*2.5*B8</f>
        <v>25.664039518923722</v>
      </c>
      <c r="C2" s="29">
        <f>(0.001+(MP5!D5+1)*H3*(MP5!D6^0.5))*5*B8-((MP5!D5/C7)+B7)*2.5*B8</f>
        <v>25.968955397271763</v>
      </c>
      <c r="D2" s="29">
        <f>(0.001+(MP5!E5)*H3*(MP5!E6^0.5))*5*B8-((MP5!E5/C7)+B7)*2.5*B8</f>
        <v>50.408128549211014</v>
      </c>
      <c r="E2" s="29">
        <f>(0.001+(MP5!E5+1)*H3*(MP5!E6^0.5))*5*B8-((MP5!E5/C7)+B7)*2.5*B8</f>
        <v>50.74112008382805</v>
      </c>
    </row>
    <row r="3" spans="2:8" ht="12.75">
      <c r="B3" s="29">
        <f>(0.001+(MP5!D5)*H3*(MP5!D6^0.5))*5*B8-((MP5!D5/C7)+B7)*2.5*B8</f>
        <v>25.664039518923722</v>
      </c>
      <c r="C3" s="29">
        <f>(0.001+(MP5!D5)*H3*((MP5!D6+1)^0.5))*5*B8-((MP5!D5/C7)+B7)*2.5*B8</f>
        <v>25.74969187245903</v>
      </c>
      <c r="D3" s="29">
        <f>(0.001+(MP5!E5)*H3*(MP5!E6^0.5))*5*B8-((MP5!E5/C7)+B7)*2.5*B8</f>
        <v>50.408128549211014</v>
      </c>
      <c r="E3" s="29">
        <f>(0.001+(MP5!E5)*H3*((MP5!E6+1)^0.5))*5*B8-((MP5!E5/C7)+B7)*2.5*B8</f>
        <v>50.517030168876516</v>
      </c>
      <c r="G3" s="32" t="s">
        <v>38</v>
      </c>
      <c r="H3">
        <f ca="1">OFFSET(H4,MP5!I4,0,1,1)</f>
        <v>0.009327</v>
      </c>
    </row>
    <row r="4" spans="1:5" ht="12.75">
      <c r="A4" t="s">
        <v>55</v>
      </c>
      <c r="B4">
        <f>(0.001+(MP5!D5)*X!H3*(MP5!D6^0.5))*5-((MP5!D5/C7)+B7)*2.5</f>
        <v>85.54679839641238</v>
      </c>
      <c r="C4">
        <f>(0.001+(MP5!D5+1)*H3*(MP5!D6^0.5))*5-((MP5!D5/C7)+B7)*2.5</f>
        <v>86.56318465757255</v>
      </c>
      <c r="D4">
        <f>(0.001+(MP5!E5)*0.009327*(MP5!E6^0.5))*5-((MP5!E5/C7)+B7)*2.5</f>
        <v>168.02709516403675</v>
      </c>
      <c r="E4">
        <f>(0.001+(MP5!E5+1)*H3*(MP5!E6^0.5))*5-((MP5!E5/C7)+B7)*2.5</f>
        <v>169.13706694609354</v>
      </c>
    </row>
    <row r="5" spans="2:8" ht="12.75">
      <c r="B5">
        <f>(0.001+(MP5!D5)*X!H3*(MP5!D6^0.5))*5-((MP5!D5/C7)+B7)*2.5</f>
        <v>85.54679839641238</v>
      </c>
      <c r="C5">
        <f>(0.001+(MP5!D5)*H3*((MP5!D6+1)^0.5))*5-((MP5!D5/C7)+B7)*2.5</f>
        <v>85.83230624153009</v>
      </c>
      <c r="D5">
        <f>(0.001+(MP5!E5)*0.009327*(MP5!E6^0.5))*5-((MP5!E5/C7)+B7)*2.5</f>
        <v>168.02709516403675</v>
      </c>
      <c r="E5">
        <f>(0.001+(MP5!E5)*H3*((MP5!E6+1)^0.5))*5-((MP5!E5/C7)+B7)*2.5</f>
        <v>168.39010056292173</v>
      </c>
      <c r="G5">
        <v>1</v>
      </c>
      <c r="H5">
        <v>0.034965</v>
      </c>
    </row>
    <row r="6" spans="7:8" ht="12.75">
      <c r="G6">
        <f>G5+1</f>
        <v>2</v>
      </c>
      <c r="H6">
        <v>0.034191</v>
      </c>
    </row>
    <row r="7" spans="1:8" ht="12.75">
      <c r="A7" t="str">
        <f>IF(EXACT("Priest",MP5!$H$4),"Priest Live Variables:",IF(EXACT("Mage",MP5!$H$4),"Mage Live Variables","Druid Live Variables"))</f>
        <v>Druid Live Variables</v>
      </c>
      <c r="B7" s="30">
        <f>IF(EXACT("Priest",MP5!$H$4),12.5,IF(EXACT("Mage",MP5!$H$4),12.5,15))</f>
        <v>15</v>
      </c>
      <c r="C7" s="31">
        <f>IF(EXACT("Priest",MP5!$H$4),4,IF(EXACT("Mage",MP5!$H$4),4,IF(EXACT("Druid",MP5!$H$4),IF(EXACT("Caster",MP5!$H$9),4.5,5),5)))</f>
        <v>4.5</v>
      </c>
      <c r="G7">
        <f>G6+1</f>
        <v>3</v>
      </c>
      <c r="H7">
        <v>0.033465</v>
      </c>
    </row>
    <row r="8" spans="1:8" ht="12.75">
      <c r="A8" t="str">
        <f>IF(EXACT("Priest",MP5!$H$4),"Meditation + Mooncloth Value",IF(EXACT("Mage",MP5!$H$4),"3/3 Arcane Meditation + Mooncloth","Intensity + Mooncloth Value"))</f>
        <v>Intensity + Mooncloth Value</v>
      </c>
      <c r="B8" s="31">
        <f>IF(EXACT("3/3",MP5!$H$6),0.3,IF(EXACT("2/3",MP5!$H$6),0.2,IF(EXACT("1/3",MP5!$H$6),0.1,0)))+IF(EXACT("Yes",MP5!$H$5),0.05,0)+IF(EXACT("Mage Armor",MP5!$H$9),0.3,0)</f>
        <v>0.3</v>
      </c>
      <c r="G8">
        <f aca="true" t="shared" si="0" ref="G8:G71">G7+1</f>
        <v>4</v>
      </c>
      <c r="H8">
        <v>0.032526</v>
      </c>
    </row>
    <row r="9" spans="7:8" ht="12.75">
      <c r="G9">
        <f t="shared" si="0"/>
        <v>5</v>
      </c>
      <c r="H9">
        <v>0.031661</v>
      </c>
    </row>
    <row r="10" spans="7:8" ht="12.75">
      <c r="G10">
        <f t="shared" si="0"/>
        <v>6</v>
      </c>
      <c r="H10">
        <v>0.031076</v>
      </c>
    </row>
    <row r="11" spans="7:8" ht="12.75">
      <c r="G11">
        <f t="shared" si="0"/>
        <v>7</v>
      </c>
      <c r="H11">
        <v>0.030523</v>
      </c>
    </row>
    <row r="12" spans="7:8" ht="15">
      <c r="G12">
        <f t="shared" si="0"/>
        <v>8</v>
      </c>
      <c r="H12" s="33">
        <v>0.029994</v>
      </c>
    </row>
    <row r="13" spans="1:8" ht="15">
      <c r="A13" t="s">
        <v>58</v>
      </c>
      <c r="G13">
        <f t="shared" si="0"/>
        <v>9</v>
      </c>
      <c r="H13" s="33">
        <v>0.029307</v>
      </c>
    </row>
    <row r="14" spans="1:8" ht="15">
      <c r="A14" t="str">
        <f>(IF(EXACT(MP5!H4,"Druid"),"Caster",IF(EXACT(MP5!H4,"Mage"),"Mage Armor",IF(EXACT(MP5!$H$4,"Shaman"),"Yes","Nothing"))))</f>
        <v>Caster</v>
      </c>
      <c r="G14">
        <f t="shared" si="0"/>
        <v>10</v>
      </c>
      <c r="H14" s="33">
        <v>0.028661</v>
      </c>
    </row>
    <row r="15" spans="1:8" ht="15">
      <c r="A15" t="str">
        <f>(IF(EXACT(MP5!H4,"Druid"),"Feral",IF(EXACT(MP5!H4,"Mage"),"Other Armor","Nothing")))</f>
        <v>Feral</v>
      </c>
      <c r="G15">
        <f t="shared" si="0"/>
        <v>11</v>
      </c>
      <c r="H15" s="33">
        <v>0.027584</v>
      </c>
    </row>
    <row r="16" spans="7:8" ht="15">
      <c r="G16">
        <f t="shared" si="0"/>
        <v>12</v>
      </c>
      <c r="H16" s="33">
        <v>0.026215</v>
      </c>
    </row>
    <row r="17" spans="7:8" ht="15">
      <c r="G17">
        <f t="shared" si="0"/>
        <v>13</v>
      </c>
      <c r="H17" s="33">
        <v>0.025381</v>
      </c>
    </row>
    <row r="18" spans="7:8" ht="15">
      <c r="G18">
        <f t="shared" si="0"/>
        <v>14</v>
      </c>
      <c r="H18" s="33">
        <v>0.0243</v>
      </c>
    </row>
    <row r="19" spans="7:8" ht="15">
      <c r="G19">
        <f t="shared" si="0"/>
        <v>15</v>
      </c>
      <c r="H19" s="33">
        <v>0.023345</v>
      </c>
    </row>
    <row r="20" spans="7:8" ht="15">
      <c r="G20">
        <f t="shared" si="0"/>
        <v>16</v>
      </c>
      <c r="H20" s="33">
        <v>0.022748</v>
      </c>
    </row>
    <row r="21" spans="7:8" ht="15">
      <c r="G21">
        <f t="shared" si="0"/>
        <v>17</v>
      </c>
      <c r="H21" s="33">
        <v>0.021958</v>
      </c>
    </row>
    <row r="22" spans="7:8" ht="15">
      <c r="G22">
        <f t="shared" si="0"/>
        <v>18</v>
      </c>
      <c r="H22" s="33">
        <v>0.021386</v>
      </c>
    </row>
    <row r="23" spans="7:8" ht="15">
      <c r="G23">
        <f t="shared" si="0"/>
        <v>19</v>
      </c>
      <c r="H23" s="33">
        <v>0.02079</v>
      </c>
    </row>
    <row r="24" spans="7:8" ht="15">
      <c r="G24">
        <f t="shared" si="0"/>
        <v>20</v>
      </c>
      <c r="H24" s="33">
        <v>0.020121</v>
      </c>
    </row>
    <row r="25" spans="7:8" ht="15">
      <c r="G25">
        <f t="shared" si="0"/>
        <v>21</v>
      </c>
      <c r="H25" s="33">
        <v>0.019733</v>
      </c>
    </row>
    <row r="26" spans="7:8" ht="15">
      <c r="G26">
        <f t="shared" si="0"/>
        <v>22</v>
      </c>
      <c r="H26" s="33">
        <v>0.019155</v>
      </c>
    </row>
    <row r="27" spans="7:8" ht="15">
      <c r="G27">
        <f t="shared" si="0"/>
        <v>23</v>
      </c>
      <c r="H27" s="33">
        <v>0.018819</v>
      </c>
    </row>
    <row r="28" spans="7:8" ht="15">
      <c r="G28">
        <f t="shared" si="0"/>
        <v>24</v>
      </c>
      <c r="H28" s="33">
        <v>0.018316</v>
      </c>
    </row>
    <row r="29" spans="7:8" ht="15">
      <c r="G29">
        <f t="shared" si="0"/>
        <v>25</v>
      </c>
      <c r="H29" s="33">
        <v>0.017936</v>
      </c>
    </row>
    <row r="30" spans="7:8" ht="15">
      <c r="G30">
        <f t="shared" si="0"/>
        <v>26</v>
      </c>
      <c r="H30" s="33">
        <v>0.017576</v>
      </c>
    </row>
    <row r="31" spans="7:8" ht="15">
      <c r="G31">
        <f t="shared" si="0"/>
        <v>27</v>
      </c>
      <c r="H31" s="33">
        <v>0.017201</v>
      </c>
    </row>
    <row r="32" spans="7:8" ht="15">
      <c r="G32">
        <f t="shared" si="0"/>
        <v>28</v>
      </c>
      <c r="H32" s="33">
        <v>0.016919</v>
      </c>
    </row>
    <row r="33" spans="7:8" ht="15">
      <c r="G33">
        <f t="shared" si="0"/>
        <v>29</v>
      </c>
      <c r="H33" s="33">
        <v>0.016581</v>
      </c>
    </row>
    <row r="34" spans="7:8" ht="15">
      <c r="G34">
        <f t="shared" si="0"/>
        <v>30</v>
      </c>
      <c r="H34" s="33">
        <v>0.016233</v>
      </c>
    </row>
    <row r="35" spans="7:8" ht="15">
      <c r="G35">
        <f t="shared" si="0"/>
        <v>31</v>
      </c>
      <c r="H35" s="33">
        <v>0.015994</v>
      </c>
    </row>
    <row r="36" spans="7:8" ht="15">
      <c r="G36">
        <f t="shared" si="0"/>
        <v>32</v>
      </c>
      <c r="H36" s="33">
        <v>0.015707</v>
      </c>
    </row>
    <row r="37" spans="7:8" ht="15">
      <c r="G37">
        <f t="shared" si="0"/>
        <v>33</v>
      </c>
      <c r="H37" s="33">
        <v>0.015464</v>
      </c>
    </row>
    <row r="38" spans="7:8" ht="15">
      <c r="G38">
        <f t="shared" si="0"/>
        <v>34</v>
      </c>
      <c r="H38" s="33">
        <v>0.015204</v>
      </c>
    </row>
    <row r="39" spans="7:8" ht="15">
      <c r="G39">
        <f t="shared" si="0"/>
        <v>35</v>
      </c>
      <c r="H39" s="33">
        <v>0.014956</v>
      </c>
    </row>
    <row r="40" spans="7:8" ht="15">
      <c r="G40">
        <f t="shared" si="0"/>
        <v>36</v>
      </c>
      <c r="H40" s="33">
        <v>0.014744</v>
      </c>
    </row>
    <row r="41" spans="7:8" ht="15">
      <c r="G41">
        <f t="shared" si="0"/>
        <v>37</v>
      </c>
      <c r="H41" s="33">
        <v>0.014495</v>
      </c>
    </row>
    <row r="42" spans="7:8" ht="15">
      <c r="G42">
        <f t="shared" si="0"/>
        <v>38</v>
      </c>
      <c r="H42" s="33">
        <v>0.014302</v>
      </c>
    </row>
    <row r="43" spans="7:8" ht="15">
      <c r="G43">
        <f t="shared" si="0"/>
        <v>39</v>
      </c>
      <c r="H43" s="33">
        <v>0.014094</v>
      </c>
    </row>
    <row r="44" spans="7:8" ht="15">
      <c r="G44">
        <f t="shared" si="0"/>
        <v>40</v>
      </c>
      <c r="H44" s="33">
        <v>0.013895</v>
      </c>
    </row>
    <row r="45" spans="7:8" ht="15">
      <c r="G45">
        <f t="shared" si="0"/>
        <v>41</v>
      </c>
      <c r="H45" s="33">
        <v>0.013724</v>
      </c>
    </row>
    <row r="46" spans="7:8" ht="15">
      <c r="G46">
        <f t="shared" si="0"/>
        <v>42</v>
      </c>
      <c r="H46" s="33">
        <v>0.013522</v>
      </c>
    </row>
    <row r="47" spans="7:8" ht="15">
      <c r="G47">
        <f t="shared" si="0"/>
        <v>43</v>
      </c>
      <c r="H47" s="33">
        <v>0.013363</v>
      </c>
    </row>
    <row r="48" spans="7:8" ht="15">
      <c r="G48">
        <f t="shared" si="0"/>
        <v>44</v>
      </c>
      <c r="H48" s="33">
        <v>0.013175</v>
      </c>
    </row>
    <row r="49" spans="7:8" ht="15">
      <c r="G49">
        <f t="shared" si="0"/>
        <v>45</v>
      </c>
      <c r="H49" s="33">
        <v>0.012996</v>
      </c>
    </row>
    <row r="50" spans="7:8" ht="15">
      <c r="G50">
        <f t="shared" si="0"/>
        <v>46</v>
      </c>
      <c r="H50" s="33">
        <v>0.012853</v>
      </c>
    </row>
    <row r="51" spans="7:8" ht="15">
      <c r="G51">
        <f t="shared" si="0"/>
        <v>47</v>
      </c>
      <c r="H51" s="33">
        <v>0.012687</v>
      </c>
    </row>
    <row r="52" spans="7:8" ht="15">
      <c r="G52">
        <f t="shared" si="0"/>
        <v>48</v>
      </c>
      <c r="H52" s="33">
        <v>0.012539</v>
      </c>
    </row>
    <row r="53" spans="7:8" ht="15">
      <c r="G53">
        <f t="shared" si="0"/>
        <v>49</v>
      </c>
      <c r="H53" s="33">
        <v>0.012384</v>
      </c>
    </row>
    <row r="54" spans="7:8" ht="15">
      <c r="G54">
        <f t="shared" si="0"/>
        <v>50</v>
      </c>
      <c r="H54" s="33">
        <v>0.012233</v>
      </c>
    </row>
    <row r="55" spans="7:8" ht="15">
      <c r="G55">
        <f t="shared" si="0"/>
        <v>51</v>
      </c>
      <c r="H55" s="33">
        <v>0.012113</v>
      </c>
    </row>
    <row r="56" spans="7:8" ht="15">
      <c r="G56">
        <f t="shared" si="0"/>
        <v>52</v>
      </c>
      <c r="H56" s="33">
        <v>0.011973</v>
      </c>
    </row>
    <row r="57" spans="7:8" ht="15">
      <c r="G57">
        <f t="shared" si="0"/>
        <v>53</v>
      </c>
      <c r="H57" s="33">
        <v>0.011859</v>
      </c>
    </row>
    <row r="58" spans="7:8" ht="15">
      <c r="G58">
        <f t="shared" si="0"/>
        <v>54</v>
      </c>
      <c r="H58" s="33">
        <v>0.011714</v>
      </c>
    </row>
    <row r="59" spans="7:8" ht="15">
      <c r="G59">
        <f t="shared" si="0"/>
        <v>55</v>
      </c>
      <c r="H59" s="33">
        <v>0.011575</v>
      </c>
    </row>
    <row r="60" spans="7:8" ht="15">
      <c r="G60">
        <f t="shared" si="0"/>
        <v>56</v>
      </c>
      <c r="H60" s="33">
        <v>0.011473</v>
      </c>
    </row>
    <row r="61" spans="7:8" ht="15">
      <c r="G61">
        <f t="shared" si="0"/>
        <v>57</v>
      </c>
      <c r="H61" s="33">
        <v>0.011342</v>
      </c>
    </row>
    <row r="62" spans="7:8" ht="15">
      <c r="G62">
        <f t="shared" si="0"/>
        <v>58</v>
      </c>
      <c r="H62" s="33">
        <v>0.011245</v>
      </c>
    </row>
    <row r="63" spans="7:8" ht="15">
      <c r="G63">
        <f t="shared" si="0"/>
        <v>59</v>
      </c>
      <c r="H63" s="33">
        <v>0.01111</v>
      </c>
    </row>
    <row r="64" spans="7:8" ht="15">
      <c r="G64">
        <f t="shared" si="0"/>
        <v>60</v>
      </c>
      <c r="H64" s="33">
        <v>0.010999</v>
      </c>
    </row>
    <row r="65" spans="7:8" ht="15">
      <c r="G65">
        <f t="shared" si="0"/>
        <v>61</v>
      </c>
      <c r="H65" s="33">
        <v>0.0107</v>
      </c>
    </row>
    <row r="66" spans="7:8" ht="15">
      <c r="G66">
        <f t="shared" si="0"/>
        <v>62</v>
      </c>
      <c r="H66" s="33">
        <v>0.010522</v>
      </c>
    </row>
    <row r="67" spans="7:8" ht="15">
      <c r="G67">
        <f t="shared" si="0"/>
        <v>63</v>
      </c>
      <c r="H67" s="33">
        <v>0.01029</v>
      </c>
    </row>
    <row r="68" spans="7:8" ht="15">
      <c r="G68">
        <f t="shared" si="0"/>
        <v>64</v>
      </c>
      <c r="H68" s="33">
        <v>0.010119</v>
      </c>
    </row>
    <row r="69" spans="7:8" ht="15">
      <c r="G69">
        <f t="shared" si="0"/>
        <v>65</v>
      </c>
      <c r="H69" s="33">
        <v>0.009968</v>
      </c>
    </row>
    <row r="70" spans="7:8" ht="15">
      <c r="G70">
        <f t="shared" si="0"/>
        <v>66</v>
      </c>
      <c r="H70" s="33">
        <v>0.009808</v>
      </c>
    </row>
    <row r="71" spans="7:8" ht="15">
      <c r="G71">
        <f t="shared" si="0"/>
        <v>67</v>
      </c>
      <c r="H71" s="33">
        <v>0.009651</v>
      </c>
    </row>
    <row r="72" spans="7:8" ht="15">
      <c r="G72">
        <f>G71+1</f>
        <v>68</v>
      </c>
      <c r="H72" s="33">
        <v>0.009553</v>
      </c>
    </row>
    <row r="73" spans="7:8" ht="15">
      <c r="G73">
        <f>G72+1</f>
        <v>69</v>
      </c>
      <c r="H73" s="33">
        <v>0.009445</v>
      </c>
    </row>
    <row r="74" spans="7:8" ht="15">
      <c r="G74">
        <f>G73+1</f>
        <v>70</v>
      </c>
      <c r="H74" s="33">
        <v>0.009327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25" sqref="C25"/>
    </sheetView>
  </sheetViews>
  <sheetFormatPr defaultColWidth="9.140625" defaultRowHeight="12.75"/>
  <cols>
    <col min="1" max="16384" width="9.140625" style="35" customWidth="1"/>
  </cols>
  <sheetData>
    <row r="1" spans="1:6" ht="12.75">
      <c r="A1" s="164" t="s">
        <v>42</v>
      </c>
      <c r="B1" s="164"/>
      <c r="C1" s="164"/>
      <c r="D1" s="1"/>
      <c r="E1" s="1"/>
      <c r="F1" s="1"/>
    </row>
    <row r="2" spans="1:6" ht="12.75">
      <c r="A2" s="1"/>
      <c r="B2" s="40" t="s">
        <v>43</v>
      </c>
      <c r="C2" s="165" t="s">
        <v>41</v>
      </c>
      <c r="D2" s="165"/>
      <c r="E2" s="165"/>
      <c r="F2" s="165"/>
    </row>
    <row r="3" spans="1:6" ht="12.75">
      <c r="A3" s="1"/>
      <c r="B3" s="1"/>
      <c r="C3" s="1"/>
      <c r="D3" s="1"/>
      <c r="E3" s="1"/>
      <c r="F3" s="1"/>
    </row>
    <row r="4" spans="1:6" ht="12.75">
      <c r="A4" s="164" t="s">
        <v>44</v>
      </c>
      <c r="B4" s="164"/>
      <c r="C4" s="1"/>
      <c r="D4" s="1"/>
      <c r="E4" s="1"/>
      <c r="F4" s="1"/>
    </row>
    <row r="5" spans="1:6" ht="12.75">
      <c r="A5" s="1"/>
      <c r="B5" s="40" t="s">
        <v>48</v>
      </c>
      <c r="C5" s="38" t="s">
        <v>49</v>
      </c>
      <c r="D5" s="1"/>
      <c r="E5" s="1"/>
      <c r="F5" s="1"/>
    </row>
    <row r="6" spans="1:6" ht="12.75">
      <c r="A6" s="1"/>
      <c r="B6" s="40" t="s">
        <v>45</v>
      </c>
      <c r="C6" s="41" t="s">
        <v>47</v>
      </c>
      <c r="D6" s="1"/>
      <c r="E6" s="1"/>
      <c r="F6" s="1"/>
    </row>
    <row r="7" spans="1:6" ht="12.75">
      <c r="A7" s="1"/>
      <c r="B7" s="40" t="s">
        <v>46</v>
      </c>
      <c r="C7" s="41" t="s">
        <v>50</v>
      </c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64" t="s">
        <v>51</v>
      </c>
      <c r="B9" s="164"/>
      <c r="C9" s="1"/>
      <c r="D9" s="1"/>
      <c r="E9" s="1"/>
      <c r="F9" s="1"/>
    </row>
    <row r="10" spans="1:6" ht="12.75">
      <c r="A10" s="1"/>
      <c r="B10" s="40" t="s">
        <v>45</v>
      </c>
      <c r="C10" s="41" t="s">
        <v>47</v>
      </c>
      <c r="D10" s="1"/>
      <c r="E10" s="1"/>
      <c r="F10" s="1"/>
    </row>
  </sheetData>
  <mergeCells count="4">
    <mergeCell ref="A4:B4"/>
    <mergeCell ref="A9:B9"/>
    <mergeCell ref="A1:C1"/>
    <mergeCell ref="C2:F2"/>
  </mergeCells>
  <hyperlinks>
    <hyperlink ref="C2" r:id="rId1" display="http://elitistjerks.com/members/37045-havenwood/"/>
    <hyperlink ref="C6" r:id="rId2" display="http://elitistjerks.com/members/20975-kinien/"/>
    <hyperlink ref="C5" r:id="rId3" display="http://elitistjerks.com/members/10880-bendyr/"/>
    <hyperlink ref="C7" r:id="rId4" display="http://elitistjerks.com/members/54488-mithos/"/>
    <hyperlink ref="C10" r:id="rId5" display="http://elitistjerks.com/members/20975-kinien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Dje</cp:lastModifiedBy>
  <dcterms:created xsi:type="dcterms:W3CDTF">2008-02-14T14:04:45Z</dcterms:created>
  <dcterms:modified xsi:type="dcterms:W3CDTF">2008-02-25T18:53:53Z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